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0" windowWidth="12915" windowHeight="12585" activeTab="5"/>
  </bookViews>
  <sheets>
    <sheet name="Konverter" sheetId="4" r:id="rId1"/>
    <sheet name="Kreaturenliste" sheetId="5" r:id="rId2"/>
    <sheet name="Auswahl" sheetId="6" r:id="rId3"/>
    <sheet name="alter Konverter" sheetId="3" r:id="rId4"/>
    <sheet name="alte Auswahl" sheetId="2" r:id="rId5"/>
    <sheet name="sehr alter Konverter" sheetId="1" r:id="rId6"/>
  </sheets>
  <calcPr calcId="124519"/>
</workbook>
</file>

<file path=xl/calcChain.xml><?xml version="1.0" encoding="utf-8"?>
<calcChain xmlns="http://schemas.openxmlformats.org/spreadsheetml/2006/main">
  <c r="L26" i="5"/>
  <c r="E3" i="4"/>
  <c r="E9"/>
  <c r="G2" i="6"/>
  <c r="F2"/>
  <c r="E8" i="4" s="1"/>
  <c r="J6" i="2"/>
  <c r="G9" i="3" s="1"/>
  <c r="F30" i="5"/>
  <c r="N30" s="1"/>
  <c r="C30"/>
  <c r="F29"/>
  <c r="C29"/>
  <c r="N29" s="1"/>
  <c r="N28"/>
  <c r="F28"/>
  <c r="F27"/>
  <c r="K26"/>
  <c r="F26"/>
  <c r="C26"/>
  <c r="N25"/>
  <c r="F25"/>
  <c r="X5" s="1"/>
  <c r="C24"/>
  <c r="N24" s="1"/>
  <c r="N23"/>
  <c r="N22"/>
  <c r="N21"/>
  <c r="N20"/>
  <c r="C19"/>
  <c r="N19"/>
  <c r="C20"/>
  <c r="N18" s="1"/>
  <c r="C16"/>
  <c r="N17" s="1"/>
  <c r="N16"/>
  <c r="N15"/>
  <c r="N14"/>
  <c r="N13"/>
  <c r="X19"/>
  <c r="N12"/>
  <c r="X18"/>
  <c r="M14" s="1"/>
  <c r="N11"/>
  <c r="N10"/>
  <c r="N9"/>
  <c r="X15"/>
  <c r="N8"/>
  <c r="X14"/>
  <c r="N7"/>
  <c r="N6"/>
  <c r="E7" i="4"/>
  <c r="E6"/>
  <c r="E5"/>
  <c r="E4"/>
  <c r="E11"/>
  <c r="E10"/>
  <c r="K41" i="3"/>
  <c r="X27"/>
  <c r="X26"/>
  <c r="M29" s="1"/>
  <c r="X22"/>
  <c r="J28" s="1"/>
  <c r="X23"/>
  <c r="C39"/>
  <c r="N39" s="1"/>
  <c r="X19"/>
  <c r="E21" s="1"/>
  <c r="X18"/>
  <c r="C33"/>
  <c r="N33" s="1"/>
  <c r="N43"/>
  <c r="N37"/>
  <c r="N31"/>
  <c r="N32"/>
  <c r="N21"/>
  <c r="N29"/>
  <c r="N28"/>
  <c r="N23"/>
  <c r="N24"/>
  <c r="N25"/>
  <c r="N36"/>
  <c r="N34"/>
  <c r="N42"/>
  <c r="N26"/>
  <c r="N30"/>
  <c r="N35"/>
  <c r="N38"/>
  <c r="N22"/>
  <c r="N27"/>
  <c r="N40"/>
  <c r="N41"/>
  <c r="N45"/>
  <c r="N44"/>
  <c r="C44"/>
  <c r="F45"/>
  <c r="C45"/>
  <c r="C41"/>
  <c r="C35"/>
  <c r="C42"/>
  <c r="C32"/>
  <c r="F43"/>
  <c r="X15"/>
  <c r="X14"/>
  <c r="F41"/>
  <c r="F42"/>
  <c r="F44"/>
  <c r="F40"/>
  <c r="G12"/>
  <c r="G11"/>
  <c r="K6" i="2"/>
  <c r="G10" i="3" s="1"/>
  <c r="C8" i="1"/>
  <c r="C10" s="1"/>
  <c r="G6" i="3"/>
  <c r="G7" s="1"/>
  <c r="G5"/>
  <c r="G4"/>
  <c r="G3"/>
  <c r="J23" i="1"/>
  <c r="I23"/>
  <c r="J21"/>
  <c r="I21"/>
  <c r="J29" i="5" l="1"/>
  <c r="M23"/>
  <c r="M24"/>
  <c r="M16"/>
  <c r="M29"/>
  <c r="M19"/>
  <c r="J23"/>
  <c r="M28"/>
  <c r="M7"/>
  <c r="M10"/>
  <c r="M21"/>
  <c r="M25"/>
  <c r="M27"/>
  <c r="M9"/>
  <c r="J8"/>
  <c r="J11"/>
  <c r="X4"/>
  <c r="M11"/>
  <c r="M6"/>
  <c r="M26"/>
  <c r="J20"/>
  <c r="J21"/>
  <c r="J24"/>
  <c r="N26"/>
  <c r="M8"/>
  <c r="M22"/>
  <c r="J9"/>
  <c r="J12"/>
  <c r="J15"/>
  <c r="M15"/>
  <c r="M20"/>
  <c r="N27"/>
  <c r="J30"/>
  <c r="J25"/>
  <c r="J18"/>
  <c r="J26"/>
  <c r="J27"/>
  <c r="J17"/>
  <c r="M17"/>
  <c r="M18"/>
  <c r="J6"/>
  <c r="J10"/>
  <c r="X11"/>
  <c r="J7"/>
  <c r="M30"/>
  <c r="M12"/>
  <c r="J19"/>
  <c r="J28"/>
  <c r="J13"/>
  <c r="J22"/>
  <c r="X10"/>
  <c r="J14"/>
  <c r="J16"/>
  <c r="M45" i="3"/>
  <c r="J37"/>
  <c r="J29"/>
  <c r="J21"/>
  <c r="J38"/>
  <c r="J30"/>
  <c r="J22"/>
  <c r="J39"/>
  <c r="J31"/>
  <c r="J23"/>
  <c r="J33"/>
  <c r="J42"/>
  <c r="J26"/>
  <c r="J43"/>
  <c r="J35"/>
  <c r="J27"/>
  <c r="J40"/>
  <c r="J32"/>
  <c r="J24"/>
  <c r="J41"/>
  <c r="J25"/>
  <c r="J34"/>
  <c r="J45"/>
  <c r="J36"/>
  <c r="M38"/>
  <c r="M30"/>
  <c r="M22"/>
  <c r="M39"/>
  <c r="M23"/>
  <c r="M40"/>
  <c r="M24"/>
  <c r="M33"/>
  <c r="M34"/>
  <c r="M35"/>
  <c r="M27"/>
  <c r="M21"/>
  <c r="M36"/>
  <c r="M28"/>
  <c r="M31"/>
  <c r="M32"/>
  <c r="M41"/>
  <c r="M25"/>
  <c r="M42"/>
  <c r="M26"/>
  <c r="M43"/>
  <c r="M37"/>
  <c r="G44"/>
  <c r="E39"/>
  <c r="E43"/>
  <c r="G45"/>
  <c r="E37"/>
  <c r="E41"/>
  <c r="E42"/>
  <c r="E29"/>
  <c r="E26"/>
  <c r="E33"/>
  <c r="E45"/>
  <c r="E22"/>
  <c r="E25"/>
  <c r="E31"/>
  <c r="E27"/>
  <c r="E36"/>
  <c r="E32"/>
  <c r="E40"/>
  <c r="E34"/>
  <c r="E44"/>
  <c r="E30"/>
  <c r="E28"/>
  <c r="E35"/>
  <c r="E23"/>
  <c r="E38"/>
  <c r="E24"/>
  <c r="G23"/>
  <c r="G31"/>
  <c r="G27"/>
  <c r="G36"/>
  <c r="G32"/>
  <c r="G40"/>
  <c r="G34"/>
  <c r="G21"/>
  <c r="G26"/>
  <c r="G22"/>
  <c r="G38"/>
  <c r="G24"/>
  <c r="G37"/>
  <c r="G25"/>
  <c r="G41"/>
  <c r="G42"/>
  <c r="G29"/>
  <c r="G39"/>
  <c r="G33"/>
  <c r="G43"/>
  <c r="G30"/>
  <c r="G28"/>
  <c r="G35"/>
  <c r="G8"/>
  <c r="J26" i="1"/>
  <c r="K26" s="1"/>
  <c r="I26"/>
  <c r="G10"/>
  <c r="G14"/>
  <c r="G12"/>
  <c r="E17" i="5" l="1"/>
  <c r="E10"/>
  <c r="E15"/>
  <c r="E25"/>
  <c r="E22"/>
  <c r="E18"/>
  <c r="E13"/>
  <c r="E21"/>
  <c r="E20"/>
  <c r="E30"/>
  <c r="E6"/>
  <c r="E12"/>
  <c r="E9"/>
  <c r="E24"/>
  <c r="E11"/>
  <c r="E8"/>
  <c r="E28"/>
  <c r="E23"/>
  <c r="E16"/>
  <c r="E14"/>
  <c r="E19"/>
  <c r="E7"/>
  <c r="E26"/>
  <c r="G19"/>
  <c r="G7"/>
  <c r="G17"/>
  <c r="G10"/>
  <c r="G15"/>
  <c r="G12"/>
  <c r="G27"/>
  <c r="G26"/>
  <c r="G22"/>
  <c r="G18"/>
  <c r="G13"/>
  <c r="G25"/>
  <c r="G6"/>
  <c r="G30"/>
  <c r="G9"/>
  <c r="G24"/>
  <c r="G21"/>
  <c r="G20"/>
  <c r="G11"/>
  <c r="G8"/>
  <c r="G29"/>
  <c r="G23"/>
  <c r="G16"/>
  <c r="G14"/>
  <c r="E27"/>
  <c r="G28"/>
  <c r="E29"/>
  <c r="K23" i="1"/>
  <c r="C16"/>
  <c r="C18"/>
  <c r="K2" i="2"/>
  <c r="C14" i="1" s="1"/>
  <c r="J2" i="2"/>
  <c r="C12" i="1" s="1"/>
  <c r="D8" l="1"/>
</calcChain>
</file>

<file path=xl/sharedStrings.xml><?xml version="1.0" encoding="utf-8"?>
<sst xmlns="http://schemas.openxmlformats.org/spreadsheetml/2006/main" count="221" uniqueCount="90">
  <si>
    <t>Bereich</t>
  </si>
  <si>
    <t>k</t>
  </si>
  <si>
    <t>d</t>
  </si>
  <si>
    <t>LeP</t>
  </si>
  <si>
    <t>WS</t>
  </si>
  <si>
    <t>Koloss</t>
  </si>
  <si>
    <t>klein</t>
  </si>
  <si>
    <t>sehr klein</t>
  </si>
  <si>
    <t>mittel</t>
  </si>
  <si>
    <t>groß</t>
  </si>
  <si>
    <t>sehr groß</t>
  </si>
  <si>
    <t>DSA</t>
  </si>
  <si>
    <t>Ilaris</t>
  </si>
  <si>
    <t>Größenklasse</t>
  </si>
  <si>
    <t>Typ</t>
  </si>
  <si>
    <t>Monster</t>
  </si>
  <si>
    <t>AT</t>
  </si>
  <si>
    <t>PA</t>
  </si>
  <si>
    <t>Kulturschaffend</t>
  </si>
  <si>
    <t>AT-Mod</t>
  </si>
  <si>
    <t>PA-Mod</t>
  </si>
  <si>
    <t>GS</t>
  </si>
  <si>
    <t>RS</t>
  </si>
  <si>
    <t>WS*</t>
  </si>
  <si>
    <t>MR</t>
  </si>
  <si>
    <t>Gewicht</t>
  </si>
  <si>
    <t>KO</t>
  </si>
  <si>
    <t>KK</t>
  </si>
  <si>
    <t xml:space="preserve">Umrechnung </t>
  </si>
  <si>
    <t>Tier</t>
  </si>
  <si>
    <t xml:space="preserve">Basis </t>
  </si>
  <si>
    <t>Wildschwein</t>
  </si>
  <si>
    <t xml:space="preserve">TP </t>
  </si>
  <si>
    <t>Länge</t>
  </si>
  <si>
    <t>Höhe</t>
  </si>
  <si>
    <t>Größe</t>
  </si>
  <si>
    <t>TP</t>
  </si>
  <si>
    <t>g</t>
  </si>
  <si>
    <t>KKTP Faktor</t>
  </si>
  <si>
    <t>Lep-Faktor</t>
  </si>
  <si>
    <t>Mensch</t>
  </si>
  <si>
    <t>m</t>
  </si>
  <si>
    <t>Name</t>
  </si>
  <si>
    <t>Bär</t>
  </si>
  <si>
    <t>Pferd</t>
  </si>
  <si>
    <t>Greif</t>
  </si>
  <si>
    <t>Höhlenspinne</t>
  </si>
  <si>
    <t>Oger</t>
  </si>
  <si>
    <t>Riesenkraken</t>
  </si>
  <si>
    <t>Tatzelwurm</t>
  </si>
  <si>
    <t>Wolf</t>
  </si>
  <si>
    <t>Baumdrache</t>
  </si>
  <si>
    <t>Riesenschröter</t>
  </si>
  <si>
    <t>Troll</t>
  </si>
  <si>
    <t>Waldschrat</t>
  </si>
  <si>
    <t>"k"</t>
  </si>
  <si>
    <t>"d"</t>
  </si>
  <si>
    <t>Seite 1</t>
  </si>
  <si>
    <t>Seite 3</t>
  </si>
  <si>
    <t>DSA4.1</t>
  </si>
  <si>
    <t>Riese</t>
  </si>
  <si>
    <t>Ghul</t>
  </si>
  <si>
    <t>Säbelzahntiger</t>
  </si>
  <si>
    <t>Riesenkaiman</t>
  </si>
  <si>
    <t>Hornechse</t>
  </si>
  <si>
    <t>Harpyie</t>
  </si>
  <si>
    <t>Morfu</t>
  </si>
  <si>
    <t>Elefant</t>
  </si>
  <si>
    <t>Krakenmolch</t>
  </si>
  <si>
    <t>Perldrache</t>
  </si>
  <si>
    <t>Mammut</t>
  </si>
  <si>
    <t>a</t>
  </si>
  <si>
    <t>b</t>
  </si>
  <si>
    <t>Abweichung /%</t>
  </si>
  <si>
    <t>Fit Wundschwelle</t>
  </si>
  <si>
    <t>Fit Trefferpunkte</t>
  </si>
  <si>
    <t>TP*</t>
  </si>
  <si>
    <t>WS**</t>
  </si>
  <si>
    <t>*TP für die Trefferpunkte zählen die unbewaffneten TP des gefährlichsten Angriffes plus die halben TP aller anderen gleichzeitig möglichen Angriffe</t>
  </si>
  <si>
    <t>*Für die WS zählt die Haupt-WS plus die halbe WS aller anderer Zonen</t>
  </si>
  <si>
    <t>Kaiserdrache</t>
  </si>
  <si>
    <t>TP/WS</t>
  </si>
  <si>
    <t>Fit KO</t>
  </si>
  <si>
    <t>Fit KK</t>
  </si>
  <si>
    <t>KO neu</t>
  </si>
  <si>
    <t>KK_neu</t>
  </si>
  <si>
    <t>Werte für Berechnung</t>
  </si>
  <si>
    <t>Schröter</t>
  </si>
  <si>
    <t>Kriegspferd</t>
  </si>
  <si>
    <t>Hyralkor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</si>
</sst>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E7A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v>Gewicht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54029318891224909"/>
                  <c:y val="-1.1427328490016124E-2"/>
                </c:manualLayout>
              </c:layout>
              <c:numFmt formatCode="General" sourceLinked="0"/>
            </c:trendlineLbl>
          </c:trendline>
          <c:xVal>
            <c:numRef>
              <c:f>Kreaturenliste!$B$6:$B$30</c:f>
              <c:numCache>
                <c:formatCode>General</c:formatCode>
                <c:ptCount val="25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425</c:v>
                </c:pt>
                <c:pt idx="14">
                  <c:v>500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  <c:pt idx="23">
                  <c:v>10000</c:v>
                </c:pt>
                <c:pt idx="24">
                  <c:v>12000</c:v>
                </c:pt>
              </c:numCache>
            </c:numRef>
          </c:xVal>
          <c:yVal>
            <c:numRef>
              <c:f>Kreaturenliste!$F$6:$F$30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16</c:v>
                </c:pt>
                <c:pt idx="11">
                  <c:v>15</c:v>
                </c:pt>
                <c:pt idx="12">
                  <c:v>28</c:v>
                </c:pt>
                <c:pt idx="13">
                  <c:v>15</c:v>
                </c:pt>
                <c:pt idx="14">
                  <c:v>24</c:v>
                </c:pt>
                <c:pt idx="15">
                  <c:v>26</c:v>
                </c:pt>
                <c:pt idx="16">
                  <c:v>26</c:v>
                </c:pt>
                <c:pt idx="17">
                  <c:v>32</c:v>
                </c:pt>
                <c:pt idx="18">
                  <c:v>40</c:v>
                </c:pt>
                <c:pt idx="19">
                  <c:v>64</c:v>
                </c:pt>
                <c:pt idx="20">
                  <c:v>64</c:v>
                </c:pt>
                <c:pt idx="21">
                  <c:v>76</c:v>
                </c:pt>
                <c:pt idx="22">
                  <c:v>76</c:v>
                </c:pt>
                <c:pt idx="23">
                  <c:v>104</c:v>
                </c:pt>
                <c:pt idx="24">
                  <c:v>98</c:v>
                </c:pt>
              </c:numCache>
            </c:numRef>
          </c:yVal>
        </c:ser>
        <c:axId val="90718208"/>
        <c:axId val="90720128"/>
      </c:scatterChart>
      <c:valAx>
        <c:axId val="90718208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0720128"/>
        <c:crosses val="autoZero"/>
        <c:crossBetween val="midCat"/>
      </c:valAx>
      <c:valAx>
        <c:axId val="90720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Summe</a:t>
                </a:r>
                <a:r>
                  <a:rPr lang="de-DE" baseline="0"/>
                  <a:t> WS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071820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1013208439806"/>
                  <c:y val="-3.0367889096735838E-3"/>
                </c:manualLayout>
              </c:layout>
              <c:numFmt formatCode="General" sourceLinked="0"/>
            </c:trendlineLbl>
          </c:trendline>
          <c:xVal>
            <c:numRef>
              <c:f>'alter Konverter'!$B$21:$B$43</c:f>
              <c:numCache>
                <c:formatCode>General</c:formatCode>
                <c:ptCount val="23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425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</c:numCache>
            </c:numRef>
          </c:xVal>
          <c:yVal>
            <c:numRef>
              <c:f>'alter Konverter'!$L$21:$L$43</c:f>
              <c:numCache>
                <c:formatCode>General</c:formatCode>
                <c:ptCount val="23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26</c:v>
                </c:pt>
                <c:pt idx="11">
                  <c:v>24</c:v>
                </c:pt>
                <c:pt idx="12">
                  <c:v>22</c:v>
                </c:pt>
                <c:pt idx="13">
                  <c:v>32</c:v>
                </c:pt>
                <c:pt idx="14">
                  <c:v>20</c:v>
                </c:pt>
                <c:pt idx="15">
                  <c:v>40</c:v>
                </c:pt>
                <c:pt idx="16">
                  <c:v>40</c:v>
                </c:pt>
                <c:pt idx="17">
                  <c:v>48</c:v>
                </c:pt>
                <c:pt idx="18">
                  <c:v>70</c:v>
                </c:pt>
                <c:pt idx="19">
                  <c:v>120</c:v>
                </c:pt>
                <c:pt idx="20">
                  <c:v>90</c:v>
                </c:pt>
                <c:pt idx="21">
                  <c:v>150</c:v>
                </c:pt>
                <c:pt idx="22">
                  <c:v>160</c:v>
                </c:pt>
              </c:numCache>
            </c:numRef>
          </c:yVal>
        </c:ser>
        <c:axId val="91503616"/>
        <c:axId val="91522176"/>
      </c:scatterChart>
      <c:valAx>
        <c:axId val="91503616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1522176"/>
        <c:crosses val="autoZero"/>
        <c:crossBetween val="midCat"/>
      </c:valAx>
      <c:valAx>
        <c:axId val="91522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KK</a:t>
                </a:r>
              </a:p>
            </c:rich>
          </c:tx>
          <c:layout/>
        </c:title>
        <c:numFmt formatCode="General" sourceLinked="1"/>
        <c:tickLblPos val="nextTo"/>
        <c:crossAx val="91503616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4862726408025"/>
                  <c:y val="8.5007467989153505E-3"/>
                </c:manualLayout>
              </c:layout>
              <c:numFmt formatCode="General" sourceLinked="0"/>
            </c:trendlineLbl>
          </c:trendline>
          <c:xVal>
            <c:numRef>
              <c:f>Kreaturenliste!$B$6:$B$30</c:f>
              <c:numCache>
                <c:formatCode>General</c:formatCode>
                <c:ptCount val="25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425</c:v>
                </c:pt>
                <c:pt idx="14">
                  <c:v>500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  <c:pt idx="23">
                  <c:v>10000</c:v>
                </c:pt>
                <c:pt idx="24">
                  <c:v>12000</c:v>
                </c:pt>
              </c:numCache>
            </c:numRef>
          </c:xVal>
          <c:yVal>
            <c:numRef>
              <c:f>Kreaturenliste!$C$6:$C$30</c:f>
              <c:numCache>
                <c:formatCode>General</c:formatCode>
                <c:ptCount val="25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18.5</c:v>
                </c:pt>
                <c:pt idx="10">
                  <c:v>20</c:v>
                </c:pt>
                <c:pt idx="11">
                  <c:v>11</c:v>
                </c:pt>
                <c:pt idx="12">
                  <c:v>17.5</c:v>
                </c:pt>
                <c:pt idx="13">
                  <c:v>20.25</c:v>
                </c:pt>
                <c:pt idx="14">
                  <c:v>21.75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27.75</c:v>
                </c:pt>
                <c:pt idx="19">
                  <c:v>31.5</c:v>
                </c:pt>
                <c:pt idx="20">
                  <c:v>29</c:v>
                </c:pt>
                <c:pt idx="21">
                  <c:v>45</c:v>
                </c:pt>
                <c:pt idx="22">
                  <c:v>36.5</c:v>
                </c:pt>
                <c:pt idx="23">
                  <c:v>73.5</c:v>
                </c:pt>
                <c:pt idx="24">
                  <c:v>46.25</c:v>
                </c:pt>
              </c:numCache>
            </c:numRef>
          </c:yVal>
        </c:ser>
        <c:axId val="90732416"/>
        <c:axId val="90742784"/>
      </c:scatterChart>
      <c:valAx>
        <c:axId val="90732416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0742784"/>
        <c:crosses val="autoZero"/>
        <c:crossBetween val="midCat"/>
      </c:valAx>
      <c:valAx>
        <c:axId val="90742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Summe</a:t>
                </a:r>
                <a:r>
                  <a:rPr lang="de-DE" baseline="0"/>
                  <a:t> Trefferpunkte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0732416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4862726408042"/>
                  <c:y val="8.500746798915354E-3"/>
                </c:manualLayout>
              </c:layout>
              <c:numFmt formatCode="General" sourceLinked="0"/>
            </c:trendlineLbl>
          </c:trendline>
          <c:xVal>
            <c:numRef>
              <c:f>Kreaturenliste!$B$6:$B$30</c:f>
              <c:numCache>
                <c:formatCode>General</c:formatCode>
                <c:ptCount val="25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425</c:v>
                </c:pt>
                <c:pt idx="14">
                  <c:v>500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  <c:pt idx="23">
                  <c:v>10000</c:v>
                </c:pt>
                <c:pt idx="24">
                  <c:v>12000</c:v>
                </c:pt>
              </c:numCache>
            </c:numRef>
          </c:xVal>
          <c:yVal>
            <c:numRef>
              <c:f>Kreaturenliste!$I$6:$I$30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22</c:v>
                </c:pt>
                <c:pt idx="8">
                  <c:v>20</c:v>
                </c:pt>
                <c:pt idx="9">
                  <c:v>22</c:v>
                </c:pt>
                <c:pt idx="10">
                  <c:v>26</c:v>
                </c:pt>
                <c:pt idx="11">
                  <c:v>24</c:v>
                </c:pt>
                <c:pt idx="12">
                  <c:v>34</c:v>
                </c:pt>
                <c:pt idx="13">
                  <c:v>28</c:v>
                </c:pt>
                <c:pt idx="14">
                  <c:v>32</c:v>
                </c:pt>
                <c:pt idx="15">
                  <c:v>34</c:v>
                </c:pt>
                <c:pt idx="16">
                  <c:v>42</c:v>
                </c:pt>
                <c:pt idx="17">
                  <c:v>54</c:v>
                </c:pt>
                <c:pt idx="18">
                  <c:v>74</c:v>
                </c:pt>
                <c:pt idx="19">
                  <c:v>140</c:v>
                </c:pt>
                <c:pt idx="20">
                  <c:v>100</c:v>
                </c:pt>
                <c:pt idx="21">
                  <c:v>130</c:v>
                </c:pt>
                <c:pt idx="22">
                  <c:v>200</c:v>
                </c:pt>
                <c:pt idx="23">
                  <c:v>220</c:v>
                </c:pt>
                <c:pt idx="24">
                  <c:v>220</c:v>
                </c:pt>
              </c:numCache>
            </c:numRef>
          </c:yVal>
        </c:ser>
        <c:axId val="90759168"/>
        <c:axId val="90761088"/>
      </c:scatterChart>
      <c:valAx>
        <c:axId val="90759168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0761088"/>
        <c:crosses val="autoZero"/>
        <c:crossBetween val="midCat"/>
      </c:valAx>
      <c:valAx>
        <c:axId val="90761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KO</a:t>
                </a:r>
              </a:p>
            </c:rich>
          </c:tx>
          <c:layout/>
        </c:title>
        <c:numFmt formatCode="General" sourceLinked="1"/>
        <c:tickLblPos val="nextTo"/>
        <c:crossAx val="9075916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1013208439806"/>
                  <c:y val="-3.0367889096735838E-3"/>
                </c:manualLayout>
              </c:layout>
              <c:numFmt formatCode="General" sourceLinked="0"/>
            </c:trendlineLbl>
          </c:trendline>
          <c:xVal>
            <c:numRef>
              <c:f>Kreaturenliste!$B$6:$B$30</c:f>
              <c:numCache>
                <c:formatCode>General</c:formatCode>
                <c:ptCount val="25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425</c:v>
                </c:pt>
                <c:pt idx="14">
                  <c:v>500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  <c:pt idx="23">
                  <c:v>10000</c:v>
                </c:pt>
                <c:pt idx="24">
                  <c:v>12000</c:v>
                </c:pt>
              </c:numCache>
            </c:numRef>
          </c:xVal>
          <c:yVal>
            <c:numRef>
              <c:f>Kreaturenliste!$L$6:$L$30</c:f>
              <c:numCache>
                <c:formatCode>General</c:formatCode>
                <c:ptCount val="25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18</c:v>
                </c:pt>
                <c:pt idx="8">
                  <c:v>22</c:v>
                </c:pt>
                <c:pt idx="9">
                  <c:v>20</c:v>
                </c:pt>
                <c:pt idx="10">
                  <c:v>24</c:v>
                </c:pt>
                <c:pt idx="11">
                  <c:v>26</c:v>
                </c:pt>
                <c:pt idx="12">
                  <c:v>32</c:v>
                </c:pt>
                <c:pt idx="13">
                  <c:v>20</c:v>
                </c:pt>
                <c:pt idx="14">
                  <c:v>26</c:v>
                </c:pt>
                <c:pt idx="15">
                  <c:v>40</c:v>
                </c:pt>
                <c:pt idx="16">
                  <c:v>40</c:v>
                </c:pt>
                <c:pt idx="17">
                  <c:v>48</c:v>
                </c:pt>
                <c:pt idx="18">
                  <c:v>70</c:v>
                </c:pt>
                <c:pt idx="19">
                  <c:v>120</c:v>
                </c:pt>
                <c:pt idx="20">
                  <c:v>96</c:v>
                </c:pt>
                <c:pt idx="21">
                  <c:v>150</c:v>
                </c:pt>
                <c:pt idx="22">
                  <c:v>160</c:v>
                </c:pt>
                <c:pt idx="23">
                  <c:v>220</c:v>
                </c:pt>
                <c:pt idx="24">
                  <c:v>200</c:v>
                </c:pt>
              </c:numCache>
            </c:numRef>
          </c:yVal>
        </c:ser>
        <c:axId val="89548672"/>
        <c:axId val="89554944"/>
      </c:scatterChart>
      <c:valAx>
        <c:axId val="89548672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89554944"/>
        <c:crosses val="autoZero"/>
        <c:crossBetween val="midCat"/>
      </c:valAx>
      <c:valAx>
        <c:axId val="89554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KK</a:t>
                </a:r>
              </a:p>
            </c:rich>
          </c:tx>
          <c:layout/>
        </c:title>
        <c:numFmt formatCode="General" sourceLinked="1"/>
        <c:tickLblPos val="nextTo"/>
        <c:crossAx val="8954867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TP</c:v>
          </c:tx>
          <c:spPr>
            <a:ln w="28575">
              <a:noFill/>
            </a:ln>
          </c:spPr>
          <c:trendline>
            <c:name>TP</c:nam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142874186181294"/>
                  <c:y val="0.1914768940399304"/>
                </c:manualLayout>
              </c:layout>
              <c:numFmt formatCode="General" sourceLinked="0"/>
            </c:trendlineLbl>
          </c:trendline>
          <c:xVal>
            <c:numRef>
              <c:f>'alter Konverter'!$B$22:$B$31</c:f>
              <c:numCache>
                <c:formatCode>General</c:formatCode>
                <c:ptCount val="10"/>
                <c:pt idx="0">
                  <c:v>45</c:v>
                </c:pt>
                <c:pt idx="1">
                  <c:v>50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200</c:v>
                </c:pt>
                <c:pt idx="7">
                  <c:v>250</c:v>
                </c:pt>
                <c:pt idx="8">
                  <c:v>250</c:v>
                </c:pt>
                <c:pt idx="9">
                  <c:v>400</c:v>
                </c:pt>
              </c:numCache>
            </c:numRef>
          </c:xVal>
          <c:yVal>
            <c:numRef>
              <c:f>'alter Konverter'!$C$22:$C$31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18.5</c:v>
                </c:pt>
                <c:pt idx="9">
                  <c:v>11</c:v>
                </c:pt>
              </c:numCache>
            </c:numRef>
          </c:yVal>
        </c:ser>
        <c:ser>
          <c:idx val="2"/>
          <c:order val="1"/>
          <c:tx>
            <c:v>KO</c:v>
          </c:tx>
          <c:spPr>
            <a:ln w="28575">
              <a:noFill/>
            </a:ln>
          </c:spPr>
          <c:trendline>
            <c:name>KO</c:nam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16811491434114825"/>
                  <c:y val="0.10439551135512527"/>
                </c:manualLayout>
              </c:layout>
              <c:numFmt formatCode="General" sourceLinked="0"/>
            </c:trendlineLbl>
          </c:trendline>
          <c:xVal>
            <c:numRef>
              <c:f>'alter Konverter'!$B$22:$B$31</c:f>
              <c:numCache>
                <c:formatCode>General</c:formatCode>
                <c:ptCount val="10"/>
                <c:pt idx="0">
                  <c:v>45</c:v>
                </c:pt>
                <c:pt idx="1">
                  <c:v>50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200</c:v>
                </c:pt>
                <c:pt idx="7">
                  <c:v>250</c:v>
                </c:pt>
                <c:pt idx="8">
                  <c:v>250</c:v>
                </c:pt>
                <c:pt idx="9">
                  <c:v>400</c:v>
                </c:pt>
              </c:numCache>
            </c:numRef>
          </c:xVal>
          <c:yVal>
            <c:numRef>
              <c:f>'alter Konverter'!$H$22:$H$31</c:f>
              <c:numCache>
                <c:formatCode>General</c:formatCode>
                <c:ptCount val="10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14</c:v>
                </c:pt>
                <c:pt idx="4">
                  <c:v>6</c:v>
                </c:pt>
                <c:pt idx="5">
                  <c:v>6</c:v>
                </c:pt>
                <c:pt idx="6">
                  <c:v>24</c:v>
                </c:pt>
                <c:pt idx="7">
                  <c:v>26</c:v>
                </c:pt>
                <c:pt idx="8">
                  <c:v>32</c:v>
                </c:pt>
                <c:pt idx="9">
                  <c:v>28</c:v>
                </c:pt>
              </c:numCache>
            </c:numRef>
          </c:yVal>
        </c:ser>
        <c:ser>
          <c:idx val="3"/>
          <c:order val="2"/>
          <c:tx>
            <c:v>KK</c:v>
          </c:tx>
          <c:spPr>
            <a:ln w="28575">
              <a:noFill/>
            </a:ln>
          </c:spPr>
          <c:trendline>
            <c:spPr>
              <a:ln>
                <a:solidFill>
                  <a:srgbClr val="7030A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-1.9502346446844242E-2"/>
                  <c:y val="-3.4175963736542858E-2"/>
                </c:manualLayout>
              </c:layout>
              <c:numFmt formatCode="General" sourceLinked="0"/>
            </c:trendlineLbl>
          </c:trendline>
          <c:xVal>
            <c:numRef>
              <c:f>'alter Konverter'!$B$22:$B$31</c:f>
              <c:numCache>
                <c:formatCode>General</c:formatCode>
                <c:ptCount val="10"/>
                <c:pt idx="0">
                  <c:v>45</c:v>
                </c:pt>
                <c:pt idx="1">
                  <c:v>50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200</c:v>
                </c:pt>
                <c:pt idx="7">
                  <c:v>250</c:v>
                </c:pt>
                <c:pt idx="8">
                  <c:v>250</c:v>
                </c:pt>
                <c:pt idx="9">
                  <c:v>400</c:v>
                </c:pt>
              </c:numCache>
            </c:numRef>
          </c:xVal>
          <c:yVal>
            <c:numRef>
              <c:f>'alter Konverter'!$K$22:$K$31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22</c:v>
                </c:pt>
                <c:pt idx="7">
                  <c:v>32</c:v>
                </c:pt>
                <c:pt idx="8">
                  <c:v>20</c:v>
                </c:pt>
                <c:pt idx="9">
                  <c:v>28</c:v>
                </c:pt>
              </c:numCache>
            </c:numRef>
          </c:yVal>
        </c:ser>
        <c:axId val="91020672"/>
        <c:axId val="90834432"/>
      </c:scatterChart>
      <c:valAx>
        <c:axId val="91020672"/>
        <c:scaling>
          <c:logBase val="10"/>
          <c:orientation val="minMax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Gewicht (log)</a:t>
                </a:r>
              </a:p>
            </c:rich>
          </c:tx>
        </c:title>
        <c:numFmt formatCode="General" sourceLinked="1"/>
        <c:tickLblPos val="nextTo"/>
        <c:crossAx val="90834432"/>
        <c:crosses val="autoZero"/>
        <c:crossBetween val="midCat"/>
      </c:valAx>
      <c:valAx>
        <c:axId val="90834432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(Proben) Wert</a:t>
                </a:r>
              </a:p>
            </c:rich>
          </c:tx>
        </c:title>
        <c:numFmt formatCode="General" sourceLinked="1"/>
        <c:tickLblPos val="nextTo"/>
        <c:crossAx val="91020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LeP</c:name>
            <c:trendlineType val="power"/>
            <c:dispRSqr val="1"/>
            <c:dispEq val="1"/>
            <c:trendlineLbl>
              <c:layout>
                <c:manualLayout>
                  <c:x val="0.2279732129072102"/>
                  <c:y val="3.4901455499880695E-3"/>
                </c:manualLayout>
              </c:layout>
              <c:numFmt formatCode="General" sourceLinked="0"/>
            </c:trendlineLbl>
          </c:trendline>
          <c:xVal>
            <c:numRef>
              <c:f>'alter Konverter'!$B$22:$B$33</c:f>
              <c:numCache>
                <c:formatCode>General</c:formatCode>
                <c:ptCount val="12"/>
                <c:pt idx="0">
                  <c:v>45</c:v>
                </c:pt>
                <c:pt idx="1">
                  <c:v>50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200</c:v>
                </c:pt>
                <c:pt idx="7">
                  <c:v>250</c:v>
                </c:pt>
                <c:pt idx="8">
                  <c:v>250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xVal>
          <c:yVal>
            <c:numRef>
              <c:f>'alter Konverter'!$D$22:$D$33</c:f>
            </c:numRef>
          </c:yVal>
        </c:ser>
        <c:axId val="90851200"/>
        <c:axId val="90869760"/>
      </c:scatterChart>
      <c:valAx>
        <c:axId val="90851200"/>
        <c:scaling>
          <c:logBase val="10"/>
          <c:orientation val="minMax"/>
          <c:max val="100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Gewicht (log)</a:t>
                </a:r>
              </a:p>
            </c:rich>
          </c:tx>
        </c:title>
        <c:numFmt formatCode="General" sourceLinked="1"/>
        <c:tickLblPos val="nextTo"/>
        <c:crossAx val="90869760"/>
        <c:crosses val="autoZero"/>
        <c:crossBetween val="midCat"/>
        <c:minorUnit val="10"/>
      </c:valAx>
      <c:valAx>
        <c:axId val="90869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LeP</a:t>
                </a:r>
              </a:p>
            </c:rich>
          </c:tx>
        </c:title>
        <c:numFmt formatCode="General" sourceLinked="1"/>
        <c:tickLblPos val="nextTo"/>
        <c:crossAx val="90851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v>Gewicht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54029318891225009"/>
                  <c:y val="-1.1427328490016106E-2"/>
                </c:manualLayout>
              </c:layout>
              <c:numFmt formatCode="General" sourceLinked="0"/>
            </c:trendlineLbl>
          </c:trendline>
          <c:xVal>
            <c:numRef>
              <c:f>'alter Konverter'!$B$21:$B$43</c:f>
              <c:numCache>
                <c:formatCode>General</c:formatCode>
                <c:ptCount val="23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425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</c:numCache>
            </c:numRef>
          </c:xVal>
          <c:yVal>
            <c:numRef>
              <c:f>'alter Konverter'!$F$21:$F$43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28</c:v>
                </c:pt>
                <c:pt idx="14">
                  <c:v>15</c:v>
                </c:pt>
                <c:pt idx="15">
                  <c:v>26</c:v>
                </c:pt>
                <c:pt idx="16">
                  <c:v>26</c:v>
                </c:pt>
                <c:pt idx="17">
                  <c:v>32</c:v>
                </c:pt>
                <c:pt idx="18">
                  <c:v>40</c:v>
                </c:pt>
                <c:pt idx="19">
                  <c:v>64</c:v>
                </c:pt>
                <c:pt idx="20">
                  <c:v>64</c:v>
                </c:pt>
                <c:pt idx="21">
                  <c:v>76</c:v>
                </c:pt>
                <c:pt idx="22">
                  <c:v>76</c:v>
                </c:pt>
              </c:numCache>
            </c:numRef>
          </c:yVal>
        </c:ser>
        <c:axId val="91427968"/>
        <c:axId val="91429888"/>
      </c:scatterChart>
      <c:valAx>
        <c:axId val="91427968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1429888"/>
        <c:crosses val="autoZero"/>
        <c:crossBetween val="midCat"/>
      </c:valAx>
      <c:valAx>
        <c:axId val="91429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Summe</a:t>
                </a:r>
                <a:r>
                  <a:rPr lang="de-DE" baseline="0"/>
                  <a:t> WS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1427968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4862726407992"/>
                  <c:y val="8.5007467989153349E-3"/>
                </c:manualLayout>
              </c:layout>
              <c:numFmt formatCode="General" sourceLinked="0"/>
            </c:trendlineLbl>
          </c:trendline>
          <c:xVal>
            <c:numRef>
              <c:f>'alter Konverter'!$B$21:$B$43</c:f>
              <c:numCache>
                <c:formatCode>General</c:formatCode>
                <c:ptCount val="23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425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</c:numCache>
            </c:numRef>
          </c:xVal>
          <c:yVal>
            <c:numRef>
              <c:f>'alter Konverter'!$C$21:$C$43</c:f>
              <c:numCache>
                <c:formatCode>General</c:formatCode>
                <c:ptCount val="23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18.5</c:v>
                </c:pt>
                <c:pt idx="10">
                  <c:v>11</c:v>
                </c:pt>
                <c:pt idx="11">
                  <c:v>20</c:v>
                </c:pt>
                <c:pt idx="12">
                  <c:v>21.75</c:v>
                </c:pt>
                <c:pt idx="13">
                  <c:v>17.5</c:v>
                </c:pt>
                <c:pt idx="14">
                  <c:v>20.25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27.75</c:v>
                </c:pt>
                <c:pt idx="19">
                  <c:v>31.5</c:v>
                </c:pt>
                <c:pt idx="20">
                  <c:v>29</c:v>
                </c:pt>
                <c:pt idx="21">
                  <c:v>35</c:v>
                </c:pt>
                <c:pt idx="22">
                  <c:v>36.5</c:v>
                </c:pt>
              </c:numCache>
            </c:numRef>
          </c:yVal>
        </c:ser>
        <c:axId val="91450368"/>
        <c:axId val="91460736"/>
      </c:scatterChart>
      <c:valAx>
        <c:axId val="91450368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1460736"/>
        <c:crosses val="autoZero"/>
        <c:crossBetween val="midCat"/>
      </c:valAx>
      <c:valAx>
        <c:axId val="91460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Summe</a:t>
                </a:r>
                <a:r>
                  <a:rPr lang="de-DE" baseline="0"/>
                  <a:t> Trefferpunkte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1450368"/>
        <c:crosses val="autoZero"/>
        <c:crossBetween val="midCat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7614862726408003"/>
                  <c:y val="8.5007467989153419E-3"/>
                </c:manualLayout>
              </c:layout>
              <c:numFmt formatCode="General" sourceLinked="0"/>
            </c:trendlineLbl>
          </c:trendline>
          <c:xVal>
            <c:numRef>
              <c:f>'alter Konverter'!$B$21:$B$43</c:f>
              <c:numCache>
                <c:formatCode>General</c:formatCode>
                <c:ptCount val="23"/>
                <c:pt idx="0">
                  <c:v>35</c:v>
                </c:pt>
                <c:pt idx="1">
                  <c:v>45</c:v>
                </c:pt>
                <c:pt idx="2">
                  <c:v>50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200</c:v>
                </c:pt>
                <c:pt idx="8">
                  <c:v>250</c:v>
                </c:pt>
                <c:pt idx="9">
                  <c:v>250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425</c:v>
                </c:pt>
                <c:pt idx="15">
                  <c:v>650</c:v>
                </c:pt>
                <c:pt idx="16">
                  <c:v>700</c:v>
                </c:pt>
                <c:pt idx="17">
                  <c:v>1000</c:v>
                </c:pt>
                <c:pt idx="18">
                  <c:v>2500</c:v>
                </c:pt>
                <c:pt idx="19">
                  <c:v>3500</c:v>
                </c:pt>
                <c:pt idx="20">
                  <c:v>4000</c:v>
                </c:pt>
                <c:pt idx="21">
                  <c:v>5000</c:v>
                </c:pt>
                <c:pt idx="22">
                  <c:v>6500</c:v>
                </c:pt>
              </c:numCache>
            </c:numRef>
          </c:xVal>
          <c:yVal>
            <c:numRef>
              <c:f>'alter Konverter'!$I$21:$I$43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22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32</c:v>
                </c:pt>
                <c:pt idx="13">
                  <c:v>34</c:v>
                </c:pt>
                <c:pt idx="14">
                  <c:v>28</c:v>
                </c:pt>
                <c:pt idx="15">
                  <c:v>34</c:v>
                </c:pt>
                <c:pt idx="16">
                  <c:v>42</c:v>
                </c:pt>
                <c:pt idx="17">
                  <c:v>54</c:v>
                </c:pt>
                <c:pt idx="18">
                  <c:v>74</c:v>
                </c:pt>
                <c:pt idx="19">
                  <c:v>140</c:v>
                </c:pt>
                <c:pt idx="20">
                  <c:v>100</c:v>
                </c:pt>
                <c:pt idx="21">
                  <c:v>130</c:v>
                </c:pt>
                <c:pt idx="22">
                  <c:v>200</c:v>
                </c:pt>
              </c:numCache>
            </c:numRef>
          </c:yVal>
        </c:ser>
        <c:axId val="91485312"/>
        <c:axId val="91487232"/>
      </c:scatterChart>
      <c:valAx>
        <c:axId val="91485312"/>
        <c:scaling>
          <c:logBase val="10"/>
          <c:orientation val="minMax"/>
          <c:max val="12000"/>
          <c:min val="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log (Gewicht)</a:t>
                </a:r>
              </a:p>
            </c:rich>
          </c:tx>
          <c:layout/>
        </c:title>
        <c:numFmt formatCode="General" sourceLinked="1"/>
        <c:tickLblPos val="nextTo"/>
        <c:crossAx val="91487232"/>
        <c:crosses val="autoZero"/>
        <c:crossBetween val="midCat"/>
      </c:valAx>
      <c:valAx>
        <c:axId val="91487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KO</a:t>
                </a:r>
              </a:p>
            </c:rich>
          </c:tx>
          <c:layout/>
        </c:title>
        <c:numFmt formatCode="General" sourceLinked="1"/>
        <c:tickLblPos val="nextTo"/>
        <c:crossAx val="9148531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761999</xdr:colOff>
      <xdr:row>0</xdr:row>
      <xdr:rowOff>0</xdr:rowOff>
    </xdr:from>
    <xdr:to>
      <xdr:col>21</xdr:col>
      <xdr:colOff>0</xdr:colOff>
      <xdr:row>12</xdr:row>
      <xdr:rowOff>123825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123825</xdr:rowOff>
    </xdr:from>
    <xdr:to>
      <xdr:col>21</xdr:col>
      <xdr:colOff>1</xdr:colOff>
      <xdr:row>30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438150</xdr:colOff>
      <xdr:row>30</xdr:row>
      <xdr:rowOff>161925</xdr:rowOff>
    </xdr:from>
    <xdr:to>
      <xdr:col>14</xdr:col>
      <xdr:colOff>742951</xdr:colOff>
      <xdr:row>48</xdr:row>
      <xdr:rowOff>180975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752475</xdr:colOff>
      <xdr:row>30</xdr:row>
      <xdr:rowOff>142875</xdr:rowOff>
    </xdr:from>
    <xdr:to>
      <xdr:col>20</xdr:col>
      <xdr:colOff>752476</xdr:colOff>
      <xdr:row>48</xdr:row>
      <xdr:rowOff>161925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85724</xdr:colOff>
      <xdr:row>1</xdr:row>
      <xdr:rowOff>76199</xdr:rowOff>
    </xdr:from>
    <xdr:to>
      <xdr:col>31</xdr:col>
      <xdr:colOff>590549</xdr:colOff>
      <xdr:row>25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28575</xdr:colOff>
      <xdr:row>25</xdr:row>
      <xdr:rowOff>114299</xdr:rowOff>
    </xdr:from>
    <xdr:to>
      <xdr:col>31</xdr:col>
      <xdr:colOff>638175</xdr:colOff>
      <xdr:row>39</xdr:row>
      <xdr:rowOff>66674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761999</xdr:colOff>
      <xdr:row>9</xdr:row>
      <xdr:rowOff>104775</xdr:rowOff>
    </xdr:from>
    <xdr:to>
      <xdr:col>21</xdr:col>
      <xdr:colOff>0</xdr:colOff>
      <xdr:row>27</xdr:row>
      <xdr:rowOff>123825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27</xdr:row>
      <xdr:rowOff>123825</xdr:rowOff>
    </xdr:from>
    <xdr:to>
      <xdr:col>21</xdr:col>
      <xdr:colOff>1</xdr:colOff>
      <xdr:row>45</xdr:row>
      <xdr:rowOff>142875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838200</xdr:colOff>
      <xdr:row>46</xdr:row>
      <xdr:rowOff>142875</xdr:rowOff>
    </xdr:from>
    <xdr:to>
      <xdr:col>12</xdr:col>
      <xdr:colOff>381001</xdr:colOff>
      <xdr:row>64</xdr:row>
      <xdr:rowOff>161925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752475</xdr:colOff>
      <xdr:row>45</xdr:row>
      <xdr:rowOff>142875</xdr:rowOff>
    </xdr:from>
    <xdr:to>
      <xdr:col>20</xdr:col>
      <xdr:colOff>752476</xdr:colOff>
      <xdr:row>63</xdr:row>
      <xdr:rowOff>161925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zoomScale="85" zoomScaleNormal="85" workbookViewId="0">
      <selection activeCell="B8" sqref="B8"/>
    </sheetView>
  </sheetViews>
  <sheetFormatPr baseColWidth="10" defaultRowHeight="15"/>
  <cols>
    <col min="1" max="1" width="18.5703125" bestFit="1" customWidth="1"/>
    <col min="2" max="2" width="15.5703125" style="22" customWidth="1"/>
    <col min="3" max="3" width="14.85546875" style="22" bestFit="1" customWidth="1"/>
    <col min="4" max="4" width="11.42578125" style="22"/>
    <col min="5" max="5" width="14.85546875" style="22" bestFit="1" customWidth="1"/>
    <col min="6" max="7" width="11.42578125" style="22"/>
    <col min="8" max="8" width="14.85546875" style="22" bestFit="1" customWidth="1"/>
    <col min="9" max="9" width="11.42578125" style="22"/>
    <col min="10" max="10" width="0" style="22" hidden="1" customWidth="1"/>
    <col min="11" max="11" width="14.85546875" hidden="1" customWidth="1"/>
    <col min="12" max="12" width="0" hidden="1" customWidth="1"/>
  </cols>
  <sheetData>
    <row r="1" spans="1:11">
      <c r="A1" s="16" t="s">
        <v>59</v>
      </c>
      <c r="D1" s="17" t="s">
        <v>12</v>
      </c>
    </row>
    <row r="2" spans="1:11">
      <c r="J2" s="17" t="s">
        <v>86</v>
      </c>
    </row>
    <row r="3" spans="1:11">
      <c r="A3" s="18" t="s">
        <v>13</v>
      </c>
      <c r="B3" s="20" t="s">
        <v>10</v>
      </c>
      <c r="D3" s="15" t="s">
        <v>4</v>
      </c>
      <c r="E3" s="3">
        <f>IF($K$4*$B$5^$K$5&gt;18, IF($K$4*$B$5^$K$5&gt;36,ROUND($K$4*$B$5^$K$5/4,0),ROUND($K$4*$B$5^$K$5/2,0)),ROUND($K$4*$B$5^$K$5,0))</f>
        <v>18</v>
      </c>
      <c r="J3" s="22" t="s">
        <v>4</v>
      </c>
      <c r="K3" s="22"/>
    </row>
    <row r="4" spans="1:11">
      <c r="A4" s="18" t="s">
        <v>14</v>
      </c>
      <c r="B4" s="20" t="s">
        <v>15</v>
      </c>
      <c r="D4" s="15" t="s">
        <v>5</v>
      </c>
      <c r="E4" s="3">
        <f>IF($K$4*$B$5^$K$5&gt;18, IF($K$4*$B$5^$K$5&gt;36,2,1),0)</f>
        <v>2</v>
      </c>
      <c r="J4" s="22" t="s">
        <v>71</v>
      </c>
      <c r="K4" s="22">
        <v>0.50905134014265208</v>
      </c>
    </row>
    <row r="5" spans="1:11">
      <c r="A5" s="18" t="s">
        <v>25</v>
      </c>
      <c r="B5" s="19">
        <v>5000</v>
      </c>
      <c r="D5" s="15" t="s">
        <v>36</v>
      </c>
      <c r="E5" s="3">
        <f>$K$8*$B$5^$K$9</f>
        <v>36.039520420512616</v>
      </c>
      <c r="J5" s="22" t="s">
        <v>72</v>
      </c>
      <c r="K5" s="22">
        <v>0.58435848374120969</v>
      </c>
    </row>
    <row r="6" spans="1:11">
      <c r="A6" s="18" t="s">
        <v>16</v>
      </c>
      <c r="B6" s="19">
        <v>14</v>
      </c>
      <c r="D6" s="15" t="s">
        <v>26</v>
      </c>
      <c r="E6" s="3">
        <f>$K$12*$B$5^$K$13</f>
        <v>152.8059107011421</v>
      </c>
      <c r="K6" s="22"/>
    </row>
    <row r="7" spans="1:11">
      <c r="A7" s="18" t="s">
        <v>17</v>
      </c>
      <c r="B7" s="19">
        <v>14</v>
      </c>
      <c r="D7" s="15" t="s">
        <v>27</v>
      </c>
      <c r="E7" s="3">
        <f>$K$16*$B$5^$K$17</f>
        <v>137.50362093821519</v>
      </c>
      <c r="J7" s="22" t="s">
        <v>36</v>
      </c>
      <c r="K7" s="22"/>
    </row>
    <row r="8" spans="1:11">
      <c r="A8" s="18" t="s">
        <v>24</v>
      </c>
      <c r="B8" s="19">
        <v>8</v>
      </c>
      <c r="D8" s="15" t="s">
        <v>16</v>
      </c>
      <c r="E8" s="3">
        <f>IF(B4="Monster", IF(B6&lt;5,2,B6-3+Auswahl!F2),IF((B6+B7)/2&lt;5,2,(B6+B7)/2-3))</f>
        <v>19</v>
      </c>
      <c r="J8" s="22" t="s">
        <v>71</v>
      </c>
      <c r="K8" s="22">
        <v>1.9903819041407704</v>
      </c>
    </row>
    <row r="9" spans="1:11">
      <c r="A9" s="18" t="s">
        <v>21</v>
      </c>
      <c r="B9" s="19">
        <v>9</v>
      </c>
      <c r="D9" s="15" t="s">
        <v>17</v>
      </c>
      <c r="E9" s="3">
        <f>IF(B4="Monster", IF(B7&lt;5,2,B7-3+Auswahl!G2),IF((B6+B7)/2&lt;5,2,(B6+B7)/2-3))</f>
        <v>11</v>
      </c>
      <c r="J9" s="22" t="s">
        <v>72</v>
      </c>
      <c r="K9" s="22">
        <v>0.3400521191360622</v>
      </c>
    </row>
    <row r="10" spans="1:11">
      <c r="D10" s="15" t="s">
        <v>24</v>
      </c>
      <c r="E10" s="22">
        <f>IF(B8&lt;2,2,B8)</f>
        <v>8</v>
      </c>
      <c r="K10" s="22"/>
    </row>
    <row r="11" spans="1:11">
      <c r="D11" s="15" t="s">
        <v>21</v>
      </c>
      <c r="E11" s="3">
        <f>B9/1.6</f>
        <v>5.625</v>
      </c>
      <c r="J11" s="22" t="s">
        <v>26</v>
      </c>
      <c r="K11" s="22"/>
    </row>
    <row r="12" spans="1:11">
      <c r="J12" s="22" t="s">
        <v>71</v>
      </c>
      <c r="K12" s="22">
        <v>0.41096895050927823</v>
      </c>
    </row>
    <row r="13" spans="1:11">
      <c r="J13" s="22" t="s">
        <v>72</v>
      </c>
      <c r="K13" s="22">
        <v>0.69487753055711177</v>
      </c>
    </row>
    <row r="14" spans="1:11">
      <c r="K14" s="22"/>
    </row>
    <row r="15" spans="1:11">
      <c r="J15" s="22" t="s">
        <v>27</v>
      </c>
      <c r="K15" s="22"/>
    </row>
    <row r="16" spans="1:11">
      <c r="J16" s="22" t="s">
        <v>71</v>
      </c>
      <c r="K16" s="22">
        <v>0.42326443945468772</v>
      </c>
    </row>
    <row r="17" spans="2:12">
      <c r="J17" s="22" t="s">
        <v>72</v>
      </c>
      <c r="K17" s="22">
        <v>0.67902749929068951</v>
      </c>
    </row>
    <row r="18" spans="2:12">
      <c r="B18" s="23"/>
    </row>
    <row r="19" spans="2:12">
      <c r="B19" s="23"/>
    </row>
    <row r="22" spans="2:12">
      <c r="K22" s="22"/>
      <c r="L22" s="22"/>
    </row>
    <row r="23" spans="2:12">
      <c r="K23" s="22"/>
    </row>
    <row r="24" spans="2:12">
      <c r="K24" s="22"/>
    </row>
    <row r="25" spans="2:12">
      <c r="K25" s="22"/>
    </row>
    <row r="26" spans="2:12">
      <c r="K26" s="22"/>
    </row>
    <row r="27" spans="2:12">
      <c r="K27" s="22"/>
    </row>
    <row r="28" spans="2:12">
      <c r="K28" s="22"/>
    </row>
    <row r="29" spans="2:12">
      <c r="K29" s="22"/>
    </row>
    <row r="30" spans="2:12">
      <c r="K30" s="22"/>
    </row>
    <row r="31" spans="2:12">
      <c r="K31" s="22"/>
    </row>
    <row r="32" spans="2:12">
      <c r="K32" s="22"/>
    </row>
    <row r="33" spans="11:11">
      <c r="K33" s="22"/>
    </row>
    <row r="34" spans="11:11">
      <c r="K34" s="22"/>
    </row>
    <row r="35" spans="11:11">
      <c r="K35" s="22"/>
    </row>
    <row r="36" spans="11:11">
      <c r="K36" s="22"/>
    </row>
    <row r="37" spans="11:11">
      <c r="K37" s="22"/>
    </row>
    <row r="38" spans="11:11">
      <c r="K38" s="22"/>
    </row>
    <row r="39" spans="11:11">
      <c r="K39" s="22"/>
    </row>
    <row r="40" spans="11:11">
      <c r="K40" s="22"/>
    </row>
    <row r="41" spans="11:11">
      <c r="K41" s="22"/>
    </row>
    <row r="42" spans="11:11">
      <c r="K42" s="22"/>
    </row>
    <row r="43" spans="11:11">
      <c r="K43" s="22"/>
    </row>
    <row r="44" spans="11:11">
      <c r="K44" s="22"/>
    </row>
    <row r="45" spans="11:11">
      <c r="K45" s="22"/>
    </row>
    <row r="46" spans="11:11">
      <c r="K46" s="22"/>
    </row>
    <row r="47" spans="11:11">
      <c r="K47" s="22"/>
    </row>
  </sheetData>
  <conditionalFormatting sqref="C23:C4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E4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L4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4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:K4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3">
      <formula1>'alte Auswahl'!A1:A5</formula1>
    </dataValidation>
    <dataValidation type="list" allowBlank="1" showInputMessage="1" showErrorMessage="1" sqref="B4">
      <formula1>'alte Auswahl'!C1:C2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selection activeCell="E21" sqref="E21"/>
    </sheetView>
  </sheetViews>
  <sheetFormatPr baseColWidth="10" defaultRowHeight="15"/>
  <cols>
    <col min="1" max="1" width="18.5703125" bestFit="1" customWidth="1"/>
    <col min="2" max="2" width="15.5703125" style="22" customWidth="1"/>
    <col min="3" max="3" width="11.42578125" style="22"/>
    <col min="4" max="4" width="11.42578125" style="22" customWidth="1"/>
    <col min="5" max="5" width="14.85546875" style="22" customWidth="1"/>
    <col min="6" max="6" width="11.42578125" style="22"/>
    <col min="7" max="7" width="14.85546875" style="22" customWidth="1"/>
    <col min="8" max="8" width="0" style="22" hidden="1" customWidth="1"/>
    <col min="9" max="9" width="11.42578125" style="22"/>
    <col min="10" max="10" width="14.85546875" style="22" customWidth="1"/>
    <col min="11" max="11" width="0" style="22" hidden="1" customWidth="1"/>
    <col min="12" max="12" width="11.42578125" style="22"/>
    <col min="13" max="13" width="14.85546875" customWidth="1"/>
    <col min="14" max="14" width="11.42578125" hidden="1" customWidth="1"/>
  </cols>
  <sheetData>
    <row r="1" spans="1:24">
      <c r="B1" s="23" t="s">
        <v>78</v>
      </c>
    </row>
    <row r="2" spans="1:24">
      <c r="B2" s="23" t="s">
        <v>79</v>
      </c>
    </row>
    <row r="3" spans="1:24">
      <c r="W3" t="s">
        <v>74</v>
      </c>
    </row>
    <row r="4" spans="1:24">
      <c r="W4" t="s">
        <v>71</v>
      </c>
      <c r="X4">
        <f>INDEX(LOGEST(F6:F28,LN(B6:B28),,TRUE),1,2)</f>
        <v>0.51274472081130329</v>
      </c>
    </row>
    <row r="5" spans="1:24">
      <c r="A5" t="s">
        <v>42</v>
      </c>
      <c r="B5" s="22" t="s">
        <v>25</v>
      </c>
      <c r="C5" s="22" t="s">
        <v>76</v>
      </c>
      <c r="D5" s="22" t="s">
        <v>3</v>
      </c>
      <c r="E5" s="22" t="s">
        <v>73</v>
      </c>
      <c r="F5" s="22" t="s">
        <v>77</v>
      </c>
      <c r="G5" s="22" t="s">
        <v>73</v>
      </c>
      <c r="H5" s="22" t="s">
        <v>26</v>
      </c>
      <c r="I5" s="22" t="s">
        <v>84</v>
      </c>
      <c r="J5" s="22" t="s">
        <v>73</v>
      </c>
      <c r="K5" s="22" t="s">
        <v>27</v>
      </c>
      <c r="L5" s="22" t="s">
        <v>85</v>
      </c>
      <c r="M5" s="22" t="s">
        <v>73</v>
      </c>
      <c r="N5" s="22" t="s">
        <v>81</v>
      </c>
      <c r="W5" t="s">
        <v>72</v>
      </c>
      <c r="X5">
        <f>LN(INDEX(LOGEST(F6:F28,LN(B6:B28),,TRUE),1,1))</f>
        <v>0.58563126272479971</v>
      </c>
    </row>
    <row r="6" spans="1:24">
      <c r="A6" t="s">
        <v>46</v>
      </c>
      <c r="B6" s="22">
        <v>35</v>
      </c>
      <c r="C6" s="22">
        <v>5.5</v>
      </c>
      <c r="D6" s="22">
        <v>20</v>
      </c>
      <c r="E6" s="22">
        <f t="shared" ref="E6:E30" si="0">(C6-($X$10*B6^X$11))/C6*100</f>
        <v>-18.660637628892037</v>
      </c>
      <c r="F6" s="22">
        <v>4</v>
      </c>
      <c r="G6" s="22">
        <f t="shared" ref="G6:G30" si="1">(F6-($X$4*B6^$X$5))/F6*100</f>
        <v>-2.8242912823269739</v>
      </c>
      <c r="H6" s="22">
        <v>2</v>
      </c>
      <c r="I6" s="22">
        <v>4</v>
      </c>
      <c r="J6" s="22">
        <f t="shared" ref="J6:J30" si="2">(I6-($X$14*B6^$X$15))/I6*100</f>
        <v>-20.728045807108142</v>
      </c>
      <c r="K6" s="22">
        <v>4</v>
      </c>
      <c r="L6" s="22">
        <v>4</v>
      </c>
      <c r="M6" s="22">
        <f t="shared" ref="M6:M12" si="3">(L6-($X$18*B6^$X$19))/L6*100</f>
        <v>-18.082195760457822</v>
      </c>
      <c r="N6">
        <f t="shared" ref="N6:N30" si="4">C6/F6</f>
        <v>1.375</v>
      </c>
    </row>
    <row r="7" spans="1:24">
      <c r="A7" t="s">
        <v>65</v>
      </c>
      <c r="B7" s="22">
        <v>45</v>
      </c>
      <c r="C7" s="22">
        <v>7</v>
      </c>
      <c r="E7" s="22">
        <f t="shared" si="0"/>
        <v>-1.8659868982953576</v>
      </c>
      <c r="F7" s="22">
        <v>4</v>
      </c>
      <c r="G7" s="22">
        <f t="shared" si="1"/>
        <v>-19.128078900327196</v>
      </c>
      <c r="H7" s="22">
        <v>2</v>
      </c>
      <c r="I7" s="22">
        <v>4</v>
      </c>
      <c r="J7" s="22">
        <f t="shared" si="2"/>
        <v>-43.762304210078184</v>
      </c>
      <c r="K7" s="22">
        <v>6</v>
      </c>
      <c r="L7" s="22">
        <v>6</v>
      </c>
      <c r="M7" s="22">
        <f t="shared" si="3"/>
        <v>6.5769046047795916</v>
      </c>
      <c r="N7">
        <f t="shared" si="4"/>
        <v>1.75</v>
      </c>
    </row>
    <row r="8" spans="1:24">
      <c r="A8" t="s">
        <v>50</v>
      </c>
      <c r="B8" s="22">
        <v>50</v>
      </c>
      <c r="C8" s="22">
        <v>7</v>
      </c>
      <c r="D8" s="22">
        <v>20</v>
      </c>
      <c r="E8" s="22">
        <f t="shared" si="0"/>
        <v>-5.7187917572318829</v>
      </c>
      <c r="F8" s="22">
        <v>5</v>
      </c>
      <c r="G8" s="22">
        <f t="shared" si="1"/>
        <v>-1.3680616944538038</v>
      </c>
      <c r="H8" s="22">
        <v>8</v>
      </c>
      <c r="I8" s="22">
        <v>6</v>
      </c>
      <c r="J8" s="22">
        <f t="shared" si="2"/>
        <v>-3.1210779409319196</v>
      </c>
      <c r="K8" s="22">
        <v>4</v>
      </c>
      <c r="L8" s="22">
        <v>6</v>
      </c>
      <c r="M8" s="22">
        <f t="shared" si="3"/>
        <v>-0.37584985091931122</v>
      </c>
      <c r="N8">
        <f t="shared" si="4"/>
        <v>1.4</v>
      </c>
    </row>
    <row r="9" spans="1:24">
      <c r="A9" t="s">
        <v>51</v>
      </c>
      <c r="B9" s="22">
        <v>60</v>
      </c>
      <c r="C9" s="22">
        <v>8</v>
      </c>
      <c r="D9" s="22">
        <v>35</v>
      </c>
      <c r="E9" s="22">
        <f t="shared" si="0"/>
        <v>1.3583454722345789</v>
      </c>
      <c r="F9" s="22">
        <v>6</v>
      </c>
      <c r="G9" s="22">
        <f t="shared" si="1"/>
        <v>6.0079959975361721</v>
      </c>
      <c r="H9" s="22">
        <v>6</v>
      </c>
      <c r="I9" s="22">
        <v>6</v>
      </c>
      <c r="J9" s="22">
        <f t="shared" si="2"/>
        <v>-17.048257051816528</v>
      </c>
      <c r="K9" s="22">
        <v>6</v>
      </c>
      <c r="L9" s="22">
        <v>6</v>
      </c>
      <c r="M9" s="22">
        <f t="shared" si="3"/>
        <v>-13.651747533226702</v>
      </c>
      <c r="N9">
        <f t="shared" si="4"/>
        <v>1.3333333333333333</v>
      </c>
      <c r="W9" t="s">
        <v>75</v>
      </c>
    </row>
    <row r="10" spans="1:24">
      <c r="A10" t="s">
        <v>87</v>
      </c>
      <c r="B10" s="22">
        <v>60</v>
      </c>
      <c r="C10" s="22">
        <v>9</v>
      </c>
      <c r="D10" s="22">
        <v>35</v>
      </c>
      <c r="E10" s="22">
        <f t="shared" si="0"/>
        <v>12.318529308652959</v>
      </c>
      <c r="F10" s="22">
        <v>7</v>
      </c>
      <c r="G10" s="22">
        <f t="shared" si="1"/>
        <v>19.435425140745291</v>
      </c>
      <c r="H10" s="22">
        <v>14</v>
      </c>
      <c r="I10" s="22">
        <v>10</v>
      </c>
      <c r="J10" s="22">
        <f t="shared" si="2"/>
        <v>29.771045768910088</v>
      </c>
      <c r="K10" s="22">
        <v>8</v>
      </c>
      <c r="L10" s="22">
        <v>6</v>
      </c>
      <c r="M10" s="22">
        <f t="shared" si="3"/>
        <v>-13.651747533226702</v>
      </c>
      <c r="N10">
        <f t="shared" si="4"/>
        <v>1.2857142857142858</v>
      </c>
      <c r="W10" t="s">
        <v>71</v>
      </c>
      <c r="X10">
        <f>INDEX(LOGEST(C6:C28,LN(B6:B28),,TRUE),1,2)</f>
        <v>1.8646848685443289</v>
      </c>
    </row>
    <row r="11" spans="1:24">
      <c r="A11" t="s">
        <v>61</v>
      </c>
      <c r="B11" s="22">
        <v>70</v>
      </c>
      <c r="C11" s="22">
        <v>7</v>
      </c>
      <c r="E11" s="22">
        <f t="shared" si="0"/>
        <v>-19.025906294384168</v>
      </c>
      <c r="F11" s="22">
        <v>5</v>
      </c>
      <c r="G11" s="22">
        <f t="shared" si="1"/>
        <v>-23.446359899342557</v>
      </c>
      <c r="H11" s="22">
        <v>6</v>
      </c>
      <c r="I11" s="22">
        <v>8</v>
      </c>
      <c r="J11" s="22">
        <f t="shared" si="2"/>
        <v>2.2891359394670352</v>
      </c>
      <c r="K11" s="22">
        <v>6</v>
      </c>
      <c r="L11" s="22">
        <v>8</v>
      </c>
      <c r="M11" s="22">
        <f t="shared" si="3"/>
        <v>5.322055502051148</v>
      </c>
      <c r="N11">
        <f t="shared" si="4"/>
        <v>1.4</v>
      </c>
      <c r="W11" t="s">
        <v>72</v>
      </c>
      <c r="X11">
        <f>LN(INDEX(LOGEST(C6:C28,LN(B6:B28),,TRUE),1,1))</f>
        <v>0.3523574770882027</v>
      </c>
    </row>
    <row r="12" spans="1:24">
      <c r="A12" t="s">
        <v>66</v>
      </c>
      <c r="B12" s="22">
        <v>80</v>
      </c>
      <c r="C12" s="22">
        <v>9</v>
      </c>
      <c r="E12" s="22">
        <f t="shared" si="0"/>
        <v>2.9644384040983636</v>
      </c>
      <c r="F12" s="22">
        <v>6</v>
      </c>
      <c r="G12" s="22">
        <f t="shared" si="1"/>
        <v>-11.23947726619779</v>
      </c>
      <c r="H12" s="22">
        <v>6</v>
      </c>
      <c r="I12" s="22">
        <v>8</v>
      </c>
      <c r="J12" s="22">
        <f t="shared" si="2"/>
        <v>-7.2105192902587323</v>
      </c>
      <c r="K12" s="22">
        <v>10</v>
      </c>
      <c r="L12" s="22">
        <v>8</v>
      </c>
      <c r="M12" s="22">
        <f t="shared" si="3"/>
        <v>-3.6953415751715957</v>
      </c>
      <c r="N12">
        <f t="shared" si="4"/>
        <v>1.5</v>
      </c>
    </row>
    <row r="13" spans="1:24">
      <c r="A13" t="s">
        <v>31</v>
      </c>
      <c r="B13" s="22">
        <v>200</v>
      </c>
      <c r="C13" s="22">
        <v>11</v>
      </c>
      <c r="D13" s="22">
        <v>80</v>
      </c>
      <c r="E13" s="22">
        <f t="shared" si="0"/>
        <v>-9.6472857513450645</v>
      </c>
      <c r="F13" s="22">
        <v>11</v>
      </c>
      <c r="G13" s="22">
        <f t="shared" si="1"/>
        <v>-3.7680401502674115</v>
      </c>
      <c r="H13" s="22">
        <v>24</v>
      </c>
      <c r="I13" s="22">
        <v>22</v>
      </c>
      <c r="J13" s="22">
        <f t="shared" si="2"/>
        <v>26.310540541179495</v>
      </c>
      <c r="K13" s="22">
        <v>22</v>
      </c>
      <c r="L13" s="22">
        <v>18</v>
      </c>
      <c r="M13" s="22"/>
      <c r="N13">
        <f t="shared" si="4"/>
        <v>1</v>
      </c>
      <c r="W13" t="s">
        <v>82</v>
      </c>
    </row>
    <row r="14" spans="1:24">
      <c r="A14" t="s">
        <v>47</v>
      </c>
      <c r="B14" s="22">
        <v>250</v>
      </c>
      <c r="C14" s="22">
        <v>11</v>
      </c>
      <c r="D14" s="22">
        <v>100</v>
      </c>
      <c r="E14" s="22">
        <f t="shared" si="0"/>
        <v>-18.616431153535082</v>
      </c>
      <c r="F14" s="22">
        <v>14</v>
      </c>
      <c r="G14" s="22">
        <f t="shared" si="1"/>
        <v>7.0858630700251819</v>
      </c>
      <c r="H14" s="22">
        <v>26</v>
      </c>
      <c r="I14" s="22">
        <v>20</v>
      </c>
      <c r="J14" s="22">
        <f t="shared" si="2"/>
        <v>5.3470742974847063</v>
      </c>
      <c r="K14" s="22">
        <v>32</v>
      </c>
      <c r="L14" s="22">
        <v>22</v>
      </c>
      <c r="M14" s="22">
        <f t="shared" ref="M14:M30" si="5">(L14-($X$18*B14^$X$19))/L14*100</f>
        <v>18.045605689578117</v>
      </c>
      <c r="N14">
        <f t="shared" si="4"/>
        <v>0.7857142857142857</v>
      </c>
      <c r="W14" t="s">
        <v>71</v>
      </c>
      <c r="X14">
        <f>INDEX(LOGEST(I6:I28,LN(B6:B28),,TRUE),1,2)</f>
        <v>0.40832251594477242</v>
      </c>
    </row>
    <row r="15" spans="1:24">
      <c r="A15" t="s">
        <v>62</v>
      </c>
      <c r="B15" s="22">
        <v>250</v>
      </c>
      <c r="C15" s="22">
        <v>18.5</v>
      </c>
      <c r="E15" s="22">
        <f t="shared" si="0"/>
        <v>29.471311206006167</v>
      </c>
      <c r="F15" s="22">
        <v>12</v>
      </c>
      <c r="G15" s="22">
        <f t="shared" si="1"/>
        <v>-8.3998264183039524</v>
      </c>
      <c r="H15" s="22">
        <v>32</v>
      </c>
      <c r="I15" s="22">
        <v>22</v>
      </c>
      <c r="J15" s="22">
        <f t="shared" si="2"/>
        <v>13.951885724986097</v>
      </c>
      <c r="K15" s="22">
        <v>20</v>
      </c>
      <c r="L15" s="22">
        <v>20</v>
      </c>
      <c r="M15" s="22">
        <f t="shared" si="5"/>
        <v>9.8501662585359284</v>
      </c>
      <c r="N15">
        <f t="shared" si="4"/>
        <v>1.5416666666666667</v>
      </c>
      <c r="W15" t="s">
        <v>72</v>
      </c>
      <c r="X15">
        <f>LN(INDEX(LOGEST(I6:I28,LN(B6:B28),,TRUE),1,1))</f>
        <v>0.69483002219009149</v>
      </c>
    </row>
    <row r="16" spans="1:24">
      <c r="A16" t="s">
        <v>45</v>
      </c>
      <c r="B16" s="22">
        <v>400</v>
      </c>
      <c r="C16" s="22">
        <f>14.5+0.5*11</f>
        <v>20</v>
      </c>
      <c r="D16" s="22">
        <v>260</v>
      </c>
      <c r="E16" s="22">
        <f t="shared" si="0"/>
        <v>23.010633736331492</v>
      </c>
      <c r="F16" s="22">
        <v>16</v>
      </c>
      <c r="G16" s="22">
        <f t="shared" si="1"/>
        <v>-7.0604078095005685</v>
      </c>
      <c r="H16" s="22">
        <v>28</v>
      </c>
      <c r="I16" s="22">
        <v>26</v>
      </c>
      <c r="J16" s="22">
        <f t="shared" si="2"/>
        <v>-0.92979292696368043</v>
      </c>
      <c r="K16" s="22">
        <v>24</v>
      </c>
      <c r="L16" s="22">
        <v>24</v>
      </c>
      <c r="M16" s="22">
        <f t="shared" si="5"/>
        <v>-3.4790497321385652</v>
      </c>
      <c r="N16">
        <f t="shared" si="4"/>
        <v>1.25</v>
      </c>
    </row>
    <row r="17" spans="1:24">
      <c r="A17" t="s">
        <v>88</v>
      </c>
      <c r="B17" s="22">
        <v>400</v>
      </c>
      <c r="C17" s="22">
        <v>11</v>
      </c>
      <c r="D17" s="22">
        <v>100</v>
      </c>
      <c r="E17" s="22">
        <f t="shared" si="0"/>
        <v>-39.980665933942738</v>
      </c>
      <c r="F17" s="22">
        <v>15</v>
      </c>
      <c r="G17" s="22">
        <f t="shared" si="1"/>
        <v>-14.19776833013394</v>
      </c>
      <c r="H17" s="22">
        <v>28</v>
      </c>
      <c r="I17" s="22">
        <v>24</v>
      </c>
      <c r="J17" s="22">
        <f t="shared" si="2"/>
        <v>-9.3406090042106538</v>
      </c>
      <c r="K17" s="22">
        <v>28</v>
      </c>
      <c r="L17" s="22">
        <v>26</v>
      </c>
      <c r="M17" s="22">
        <f t="shared" si="5"/>
        <v>4.4808771703336321</v>
      </c>
      <c r="N17">
        <f t="shared" si="4"/>
        <v>0.73333333333333328</v>
      </c>
      <c r="W17" t="s">
        <v>83</v>
      </c>
    </row>
    <row r="18" spans="1:24">
      <c r="A18" t="s">
        <v>54</v>
      </c>
      <c r="B18" s="22">
        <v>400</v>
      </c>
      <c r="C18" s="22">
        <v>17.5</v>
      </c>
      <c r="D18" s="22">
        <v>190</v>
      </c>
      <c r="E18" s="22">
        <f t="shared" si="0"/>
        <v>12.012152841521708</v>
      </c>
      <c r="F18" s="22">
        <v>28</v>
      </c>
      <c r="G18" s="22">
        <f t="shared" si="1"/>
        <v>38.822624108856814</v>
      </c>
      <c r="H18" s="22">
        <v>36</v>
      </c>
      <c r="I18" s="22">
        <v>34</v>
      </c>
      <c r="J18" s="22">
        <f t="shared" si="2"/>
        <v>22.818393644086598</v>
      </c>
      <c r="K18" s="22">
        <v>32</v>
      </c>
      <c r="L18" s="22">
        <v>32</v>
      </c>
      <c r="M18" s="22">
        <f t="shared" si="5"/>
        <v>22.390712700896074</v>
      </c>
      <c r="N18">
        <f t="shared" si="4"/>
        <v>0.625</v>
      </c>
      <c r="W18" t="s">
        <v>71</v>
      </c>
      <c r="X18">
        <f>INDEX(LOGEST(L6:L28,LN(B6:B28),,TRUE),1,2)</f>
        <v>0.41904166786869412</v>
      </c>
    </row>
    <row r="19" spans="1:24">
      <c r="A19" t="s">
        <v>63</v>
      </c>
      <c r="B19" s="22">
        <v>425</v>
      </c>
      <c r="C19" s="22">
        <f>18+0.5*4.5</f>
        <v>20.25</v>
      </c>
      <c r="E19" s="22">
        <f t="shared" si="0"/>
        <v>22.319339200140696</v>
      </c>
      <c r="F19" s="22">
        <v>15</v>
      </c>
      <c r="G19" s="22">
        <f t="shared" si="1"/>
        <v>-18.325041803942881</v>
      </c>
      <c r="H19" s="22">
        <v>30</v>
      </c>
      <c r="I19" s="22">
        <v>28</v>
      </c>
      <c r="J19" s="22">
        <f t="shared" si="2"/>
        <v>2.2472833038845508</v>
      </c>
      <c r="K19" s="22">
        <v>20</v>
      </c>
      <c r="L19" s="22">
        <v>20</v>
      </c>
      <c r="M19" s="22">
        <f t="shared" si="5"/>
        <v>-29.411185744284062</v>
      </c>
      <c r="N19">
        <f t="shared" si="4"/>
        <v>1.35</v>
      </c>
      <c r="W19" t="s">
        <v>72</v>
      </c>
      <c r="X19">
        <f>LN(INDEX(LOGEST(L6:L28,LN(B6:B28),,TRUE),1,1))</f>
        <v>0.68130883600345327</v>
      </c>
    </row>
    <row r="20" spans="1:24">
      <c r="A20" t="s">
        <v>49</v>
      </c>
      <c r="B20" s="22">
        <v>500</v>
      </c>
      <c r="C20" s="22">
        <f>16+0.5*11.5</f>
        <v>21.75</v>
      </c>
      <c r="D20" s="22">
        <v>190</v>
      </c>
      <c r="E20" s="22">
        <f t="shared" si="0"/>
        <v>23.414165868593226</v>
      </c>
      <c r="F20" s="22">
        <v>24</v>
      </c>
      <c r="G20" s="22">
        <f t="shared" si="1"/>
        <v>18.662434855020408</v>
      </c>
      <c r="H20" s="22">
        <v>34</v>
      </c>
      <c r="I20" s="22">
        <v>32</v>
      </c>
      <c r="J20" s="22">
        <f t="shared" si="2"/>
        <v>4.2411904539244709</v>
      </c>
      <c r="K20" s="22">
        <v>36</v>
      </c>
      <c r="L20" s="22">
        <v>26</v>
      </c>
      <c r="M20" s="22">
        <f t="shared" si="5"/>
        <v>-11.202864313889958</v>
      </c>
      <c r="N20">
        <f t="shared" si="4"/>
        <v>0.90625</v>
      </c>
    </row>
    <row r="21" spans="1:24">
      <c r="A21" t="s">
        <v>53</v>
      </c>
      <c r="B21" s="22">
        <v>650</v>
      </c>
      <c r="C21" s="22">
        <v>15</v>
      </c>
      <c r="D21" s="22">
        <v>210</v>
      </c>
      <c r="E21" s="22">
        <f t="shared" si="0"/>
        <v>-21.805035084226578</v>
      </c>
      <c r="F21" s="22">
        <v>26</v>
      </c>
      <c r="G21" s="22">
        <f t="shared" si="1"/>
        <v>12.449657255859478</v>
      </c>
      <c r="H21" s="22">
        <v>36</v>
      </c>
      <c r="I21" s="22">
        <v>34</v>
      </c>
      <c r="J21" s="22">
        <f t="shared" si="2"/>
        <v>-8.1486398079459121</v>
      </c>
      <c r="K21" s="22">
        <v>36</v>
      </c>
      <c r="L21" s="22">
        <v>40</v>
      </c>
      <c r="M21" s="22">
        <f t="shared" si="5"/>
        <v>13.570909456668206</v>
      </c>
      <c r="N21">
        <f t="shared" si="4"/>
        <v>0.57692307692307687</v>
      </c>
    </row>
    <row r="22" spans="1:24">
      <c r="A22" t="s">
        <v>43</v>
      </c>
      <c r="B22" s="22">
        <v>700</v>
      </c>
      <c r="C22" s="22">
        <v>20</v>
      </c>
      <c r="D22" s="22">
        <v>160</v>
      </c>
      <c r="E22" s="22">
        <f t="shared" si="0"/>
        <v>6.2293301432466031</v>
      </c>
      <c r="F22" s="22">
        <v>26</v>
      </c>
      <c r="G22" s="22">
        <f t="shared" si="1"/>
        <v>8.5663183417640596</v>
      </c>
      <c r="H22" s="22">
        <v>36</v>
      </c>
      <c r="I22" s="22">
        <v>42</v>
      </c>
      <c r="J22" s="22">
        <f t="shared" si="2"/>
        <v>7.8249095241421944</v>
      </c>
      <c r="K22" s="22">
        <v>40</v>
      </c>
      <c r="L22" s="22">
        <v>40</v>
      </c>
      <c r="M22" s="22">
        <f t="shared" si="5"/>
        <v>9.0950248789346055</v>
      </c>
      <c r="N22">
        <f t="shared" si="4"/>
        <v>0.76923076923076927</v>
      </c>
    </row>
    <row r="23" spans="1:24">
      <c r="A23" t="s">
        <v>64</v>
      </c>
      <c r="B23" s="22">
        <v>1000</v>
      </c>
      <c r="C23" s="22">
        <v>20</v>
      </c>
      <c r="E23" s="22">
        <f t="shared" si="0"/>
        <v>-6.3280580857844093</v>
      </c>
      <c r="F23" s="22">
        <v>32</v>
      </c>
      <c r="G23" s="22">
        <f t="shared" si="1"/>
        <v>8.4528123017821866</v>
      </c>
      <c r="H23" s="22">
        <v>40</v>
      </c>
      <c r="I23" s="22">
        <v>54</v>
      </c>
      <c r="J23" s="22">
        <f t="shared" si="2"/>
        <v>8.1456696337686658</v>
      </c>
      <c r="K23" s="22">
        <v>44</v>
      </c>
      <c r="L23" s="22">
        <v>48</v>
      </c>
      <c r="M23" s="22">
        <f t="shared" si="5"/>
        <v>3.4077060189924659</v>
      </c>
      <c r="N23">
        <f t="shared" si="4"/>
        <v>0.625</v>
      </c>
    </row>
    <row r="24" spans="1:24">
      <c r="A24" t="s">
        <v>69</v>
      </c>
      <c r="B24" s="22">
        <v>2500</v>
      </c>
      <c r="C24" s="22">
        <f>21.5+0.5*12.5</f>
        <v>27.75</v>
      </c>
      <c r="E24" s="22">
        <f t="shared" si="0"/>
        <v>-5.835661339524977</v>
      </c>
      <c r="F24" s="22">
        <v>40</v>
      </c>
      <c r="G24" s="22">
        <f t="shared" si="1"/>
        <v>-25.250971811956795</v>
      </c>
      <c r="H24" s="22">
        <v>42</v>
      </c>
      <c r="I24" s="22">
        <v>74</v>
      </c>
      <c r="J24" s="22">
        <f t="shared" si="2"/>
        <v>-26.695835719474793</v>
      </c>
      <c r="K24" s="22">
        <v>28</v>
      </c>
      <c r="L24" s="22">
        <v>70</v>
      </c>
      <c r="M24" s="22">
        <f t="shared" si="5"/>
        <v>-23.653303038333625</v>
      </c>
      <c r="N24">
        <f t="shared" si="4"/>
        <v>0.69374999999999998</v>
      </c>
    </row>
    <row r="25" spans="1:24">
      <c r="A25" t="s">
        <v>67</v>
      </c>
      <c r="B25" s="22">
        <v>3500</v>
      </c>
      <c r="C25" s="22">
        <v>31.5</v>
      </c>
      <c r="E25" s="22">
        <f t="shared" si="0"/>
        <v>-4.972071503755183</v>
      </c>
      <c r="F25" s="22">
        <f>16*4</f>
        <v>64</v>
      </c>
      <c r="G25" s="22">
        <f t="shared" si="1"/>
        <v>4.6680958628362852</v>
      </c>
      <c r="H25" s="22">
        <v>50</v>
      </c>
      <c r="I25" s="22">
        <v>140</v>
      </c>
      <c r="J25" s="22">
        <f t="shared" si="2"/>
        <v>15.394193266370806</v>
      </c>
      <c r="K25" s="22">
        <v>54</v>
      </c>
      <c r="L25" s="22">
        <v>120</v>
      </c>
      <c r="M25" s="22">
        <f t="shared" si="5"/>
        <v>9.2846380699529849</v>
      </c>
      <c r="N25">
        <f t="shared" si="4"/>
        <v>0.4921875</v>
      </c>
    </row>
    <row r="26" spans="1:24">
      <c r="A26" t="s">
        <v>68</v>
      </c>
      <c r="B26" s="22">
        <v>4000</v>
      </c>
      <c r="C26" s="22">
        <f>18+2*0.5*11</f>
        <v>29</v>
      </c>
      <c r="E26" s="22">
        <f t="shared" si="0"/>
        <v>-19.514395620643484</v>
      </c>
      <c r="F26" s="22">
        <f>12*2+4*10</f>
        <v>64</v>
      </c>
      <c r="G26" s="22">
        <f t="shared" si="1"/>
        <v>-3.0861131100797579</v>
      </c>
      <c r="H26" s="22">
        <v>42</v>
      </c>
      <c r="I26" s="22">
        <v>100</v>
      </c>
      <c r="J26" s="22">
        <f t="shared" si="2"/>
        <v>-29.963905108545756</v>
      </c>
      <c r="K26" s="22">
        <f>16*4</f>
        <v>64</v>
      </c>
      <c r="L26" s="22">
        <f>8*12</f>
        <v>96</v>
      </c>
      <c r="M26" s="22">
        <f t="shared" si="5"/>
        <v>-24.19418919756103</v>
      </c>
      <c r="N26">
        <f t="shared" si="4"/>
        <v>0.453125</v>
      </c>
    </row>
    <row r="27" spans="1:24">
      <c r="A27" t="s">
        <v>60</v>
      </c>
      <c r="B27" s="22">
        <v>5000</v>
      </c>
      <c r="C27" s="22">
        <v>45</v>
      </c>
      <c r="E27" s="22">
        <f t="shared" si="0"/>
        <v>16.67934575597166</v>
      </c>
      <c r="F27" s="22">
        <f>19*4</f>
        <v>76</v>
      </c>
      <c r="G27" s="22">
        <f t="shared" si="1"/>
        <v>1.0718062464117546</v>
      </c>
      <c r="H27" s="22">
        <v>60</v>
      </c>
      <c r="I27" s="22">
        <v>130</v>
      </c>
      <c r="J27" s="22">
        <f t="shared" si="2"/>
        <v>-16.738843504546313</v>
      </c>
      <c r="K27" s="22">
        <v>64</v>
      </c>
      <c r="L27" s="22">
        <v>150</v>
      </c>
      <c r="M27" s="22">
        <f t="shared" si="5"/>
        <v>7.4648147627545427</v>
      </c>
      <c r="N27">
        <f t="shared" si="4"/>
        <v>0.59210526315789469</v>
      </c>
    </row>
    <row r="28" spans="1:24">
      <c r="A28" t="s">
        <v>70</v>
      </c>
      <c r="B28" s="22">
        <v>6500</v>
      </c>
      <c r="C28" s="22">
        <v>36.5</v>
      </c>
      <c r="E28" s="22">
        <f t="shared" si="0"/>
        <v>-12.673325600833257</v>
      </c>
      <c r="F28" s="22">
        <f>19*4</f>
        <v>76</v>
      </c>
      <c r="G28" s="22">
        <f t="shared" si="1"/>
        <v>-15.358305755070154</v>
      </c>
      <c r="H28" s="22">
        <v>50</v>
      </c>
      <c r="I28" s="22">
        <v>200</v>
      </c>
      <c r="J28" s="22">
        <f t="shared" si="2"/>
        <v>8.9457953440140017</v>
      </c>
      <c r="K28" s="22">
        <v>54</v>
      </c>
      <c r="L28" s="22">
        <v>160</v>
      </c>
      <c r="M28" s="22">
        <f t="shared" si="5"/>
        <v>-3.7310532991675949</v>
      </c>
      <c r="N28">
        <f t="shared" si="4"/>
        <v>0.48026315789473684</v>
      </c>
    </row>
    <row r="29" spans="1:24">
      <c r="A29" t="s">
        <v>48</v>
      </c>
      <c r="B29" s="22">
        <v>10000</v>
      </c>
      <c r="C29" s="22">
        <f>41.5+0.5*4*16</f>
        <v>73.5</v>
      </c>
      <c r="D29" s="22">
        <v>920</v>
      </c>
      <c r="E29" s="22">
        <f t="shared" si="0"/>
        <v>34.874958071369619</v>
      </c>
      <c r="F29" s="22">
        <f>4*16+4*10</f>
        <v>104</v>
      </c>
      <c r="G29" s="22">
        <f t="shared" si="1"/>
        <v>-8.4907993856555972</v>
      </c>
      <c r="I29" s="22">
        <v>220</v>
      </c>
      <c r="J29" s="22">
        <f t="shared" si="2"/>
        <v>-11.6608004047365</v>
      </c>
      <c r="L29" s="22">
        <v>220</v>
      </c>
      <c r="M29" s="22">
        <f t="shared" si="5"/>
        <v>-1.1742218542724459</v>
      </c>
      <c r="N29">
        <f t="shared" si="4"/>
        <v>0.70673076923076927</v>
      </c>
    </row>
    <row r="30" spans="1:24">
      <c r="A30" t="s">
        <v>89</v>
      </c>
      <c r="B30" s="22">
        <v>12000</v>
      </c>
      <c r="C30" s="22">
        <f>31+0.5*30.5</f>
        <v>46.25</v>
      </c>
      <c r="E30" s="22">
        <f t="shared" si="0"/>
        <v>-10.363057077582697</v>
      </c>
      <c r="F30" s="22">
        <f>17*4+0.5*(2*11+16+11+11)</f>
        <v>98</v>
      </c>
      <c r="G30" s="22">
        <f t="shared" si="1"/>
        <v>-28.106505876315353</v>
      </c>
      <c r="H30" s="22">
        <v>60</v>
      </c>
      <c r="I30" s="22">
        <v>220</v>
      </c>
      <c r="J30" s="22">
        <f t="shared" si="2"/>
        <v>-26.741325142775736</v>
      </c>
      <c r="K30" s="22">
        <v>64</v>
      </c>
      <c r="L30" s="22">
        <v>200</v>
      </c>
      <c r="M30" s="22">
        <f t="shared" si="5"/>
        <v>-26.011285082452744</v>
      </c>
      <c r="N30">
        <f t="shared" si="4"/>
        <v>0.47193877551020408</v>
      </c>
    </row>
  </sheetData>
  <sortState ref="A6:M30">
    <sortCondition ref="B6:B30"/>
  </sortState>
  <conditionalFormatting sqref="E6:E3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6:G3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6:N3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3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6:M3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" sqref="F1:G2"/>
    </sheetView>
  </sheetViews>
  <sheetFormatPr baseColWidth="10" defaultRowHeight="15"/>
  <sheetData>
    <row r="1" spans="1:7">
      <c r="A1" t="s">
        <v>7</v>
      </c>
      <c r="C1" t="s">
        <v>18</v>
      </c>
      <c r="F1" t="s">
        <v>19</v>
      </c>
      <c r="G1" t="s">
        <v>20</v>
      </c>
    </row>
    <row r="2" spans="1:7">
      <c r="A2" t="s">
        <v>6</v>
      </c>
      <c r="C2" t="s">
        <v>15</v>
      </c>
      <c r="F2">
        <f>IF(Konverter!B3="sehr klein",4,IF(Konverter!B3="groß",4,IF(Konverter!B3="sehr groß",8,0)))</f>
        <v>8</v>
      </c>
      <c r="G2">
        <f>IF(Konverter!B3="sehr klein",4,IF(Konverter!B3="klein",2,0))</f>
        <v>0</v>
      </c>
    </row>
    <row r="3" spans="1:7">
      <c r="A3" t="s">
        <v>8</v>
      </c>
      <c r="F3" s="22"/>
      <c r="G3" s="22"/>
    </row>
    <row r="4" spans="1:7">
      <c r="A4" t="s">
        <v>9</v>
      </c>
      <c r="F4" s="22"/>
      <c r="G4" s="22"/>
    </row>
    <row r="5" spans="1:7">
      <c r="A5" t="s">
        <v>10</v>
      </c>
      <c r="F5" s="22"/>
      <c r="G5" s="22"/>
    </row>
    <row r="6" spans="1:7">
      <c r="F6" s="22"/>
      <c r="G6" s="22"/>
    </row>
    <row r="7" spans="1:7">
      <c r="F7" s="22"/>
      <c r="G7" s="22"/>
    </row>
    <row r="8" spans="1:7">
      <c r="F8" s="22"/>
      <c r="G8" s="22"/>
    </row>
    <row r="9" spans="1:7">
      <c r="F9" s="22"/>
      <c r="G9" s="22"/>
    </row>
    <row r="10" spans="1:7">
      <c r="F10" s="22"/>
      <c r="G10" s="22"/>
    </row>
    <row r="11" spans="1:7">
      <c r="F11" s="22"/>
      <c r="G11" s="22"/>
    </row>
    <row r="12" spans="1:7">
      <c r="F12" s="22"/>
      <c r="G12" s="22"/>
    </row>
    <row r="13" spans="1:7">
      <c r="F13" s="22"/>
      <c r="G13" s="22"/>
    </row>
    <row r="14" spans="1:7">
      <c r="F14" s="22"/>
      <c r="G14" s="22"/>
    </row>
    <row r="15" spans="1:7">
      <c r="F15" s="22"/>
      <c r="G15" s="22"/>
    </row>
    <row r="16" spans="1:7">
      <c r="F16" s="22"/>
      <c r="G16" s="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5"/>
  <sheetViews>
    <sheetView topLeftCell="A13" workbookViewId="0">
      <selection activeCell="G9" sqref="G9"/>
    </sheetView>
  </sheetViews>
  <sheetFormatPr baseColWidth="10" defaultRowHeight="15"/>
  <cols>
    <col min="1" max="1" width="18.5703125" bestFit="1" customWidth="1"/>
    <col min="2" max="2" width="15.5703125" style="11" customWidth="1"/>
    <col min="3" max="3" width="11.42578125" style="11"/>
    <col min="4" max="4" width="0" style="11" hidden="1" customWidth="1"/>
    <col min="5" max="5" width="14.85546875" style="21" bestFit="1" customWidth="1"/>
    <col min="6" max="6" width="11.42578125" style="11"/>
    <col min="7" max="7" width="14.85546875" style="21" bestFit="1" customWidth="1"/>
    <col min="8" max="8" width="11.42578125" style="11"/>
    <col min="9" max="9" width="11.42578125" style="22"/>
    <col min="10" max="10" width="14.85546875" style="22" bestFit="1" customWidth="1"/>
    <col min="11" max="11" width="11.42578125" style="11"/>
    <col min="12" max="12" width="11.42578125" style="22"/>
    <col min="13" max="13" width="14.85546875" bestFit="1" customWidth="1"/>
    <col min="14" max="14" width="0" hidden="1" customWidth="1"/>
  </cols>
  <sheetData>
    <row r="1" spans="1:24">
      <c r="A1" s="16" t="s">
        <v>59</v>
      </c>
      <c r="F1" s="17" t="s">
        <v>12</v>
      </c>
      <c r="G1" s="12"/>
      <c r="H1" s="12"/>
    </row>
    <row r="2" spans="1:24">
      <c r="G2" s="15"/>
      <c r="H2" s="12"/>
      <c r="K2" s="12"/>
    </row>
    <row r="3" spans="1:24">
      <c r="A3" s="18" t="s">
        <v>13</v>
      </c>
      <c r="B3" s="20" t="s">
        <v>10</v>
      </c>
      <c r="F3" s="15" t="s">
        <v>36</v>
      </c>
      <c r="G3" s="3">
        <f>B5*K4+M4</f>
        <v>17.295000000000002</v>
      </c>
      <c r="H3" s="12"/>
      <c r="K3" s="12" t="s">
        <v>55</v>
      </c>
      <c r="M3" s="12" t="s">
        <v>56</v>
      </c>
    </row>
    <row r="4" spans="1:24">
      <c r="A4" s="18" t="s">
        <v>14</v>
      </c>
      <c r="B4" s="20" t="s">
        <v>15</v>
      </c>
      <c r="F4" s="15" t="s">
        <v>26</v>
      </c>
      <c r="G4" s="3">
        <f>K5*LN(B5)+M5</f>
        <v>32.78210475870722</v>
      </c>
      <c r="H4" s="12"/>
      <c r="K4" s="11">
        <v>2.1999999999999999E-2</v>
      </c>
      <c r="M4" s="11">
        <v>6.2949999999999999</v>
      </c>
    </row>
    <row r="5" spans="1:24">
      <c r="A5" s="18" t="s">
        <v>25</v>
      </c>
      <c r="B5" s="19">
        <v>500</v>
      </c>
      <c r="F5" s="15" t="s">
        <v>27</v>
      </c>
      <c r="G5" s="3">
        <f>K6*LN(B5)+M6</f>
        <v>34.075387448624504</v>
      </c>
      <c r="K5" s="12">
        <v>10.96</v>
      </c>
      <c r="M5" s="12">
        <v>-35.33</v>
      </c>
    </row>
    <row r="6" spans="1:24">
      <c r="A6" s="18" t="s">
        <v>16</v>
      </c>
      <c r="B6" s="19">
        <v>12</v>
      </c>
      <c r="F6" s="15" t="s">
        <v>3</v>
      </c>
      <c r="G6" s="3">
        <f>K7*B5^M7</f>
        <v>174.69664409762484</v>
      </c>
      <c r="K6" s="12">
        <v>12.28</v>
      </c>
      <c r="M6" s="12">
        <v>-42.24</v>
      </c>
    </row>
    <row r="7" spans="1:24">
      <c r="A7" s="18" t="s">
        <v>17</v>
      </c>
      <c r="B7" s="19">
        <v>12</v>
      </c>
      <c r="F7" s="15" t="s">
        <v>4</v>
      </c>
      <c r="G7" s="3">
        <f>IF(G6&lt;'alte Auswahl'!F2, G6*'alte Auswahl'!G2+'alte Auswahl'!H2, IF(G6&lt;'alte Auswahl'!F3, G6*'alte Auswahl'!G3+'alte Auswahl'!H3, IF(G6&lt;'alte Auswahl'!F4,G6*'alte Auswahl'!G4+'alte Auswahl'!H4,G6*'alte Auswahl'!G5+'alte Auswahl'!H5)))</f>
        <v>11.972541330579391</v>
      </c>
      <c r="K7" s="12">
        <v>1.1100000000000001</v>
      </c>
      <c r="M7" s="12">
        <v>0.81399999999999995</v>
      </c>
    </row>
    <row r="8" spans="1:24">
      <c r="A8" s="18" t="s">
        <v>24</v>
      </c>
      <c r="B8" s="19">
        <v>8</v>
      </c>
      <c r="F8" s="15" t="s">
        <v>5</v>
      </c>
      <c r="G8" s="3">
        <f>IF(G6&lt;'alte Auswahl'!F2,0,IF(G6&lt;'alte Auswahl'!F3,1,2))</f>
        <v>1</v>
      </c>
    </row>
    <row r="9" spans="1:24">
      <c r="A9" s="18" t="s">
        <v>21</v>
      </c>
      <c r="B9" s="19">
        <v>9</v>
      </c>
      <c r="F9" s="15" t="s">
        <v>16</v>
      </c>
      <c r="G9" s="3">
        <f>IF(B4="Monster", IF(B6&lt;5,2,B6-3+'alte Auswahl'!J6),IF((B6+B7)/2&lt;5,2,(B6+B7)/2-3))</f>
        <v>17</v>
      </c>
    </row>
    <row r="10" spans="1:24">
      <c r="B10" s="12"/>
      <c r="F10" s="15" t="s">
        <v>17</v>
      </c>
      <c r="G10" s="3">
        <f>IF(B4="Monster", IF(B7&lt;5,2,B7-3+'alte Auswahl'!K6),IF((B7+B6)/2&lt;5,2,(B7+B6)/2-3))</f>
        <v>9</v>
      </c>
      <c r="K10" s="12"/>
      <c r="M10" s="12"/>
    </row>
    <row r="11" spans="1:24">
      <c r="B11" s="12"/>
      <c r="F11" s="15" t="s">
        <v>24</v>
      </c>
      <c r="G11" s="12" t="str">
        <f>IF(B8&lt;2,2,F11)</f>
        <v>MR</v>
      </c>
      <c r="M11" s="11"/>
    </row>
    <row r="12" spans="1:24">
      <c r="B12" s="12"/>
      <c r="F12" s="15" t="s">
        <v>21</v>
      </c>
      <c r="G12" s="3">
        <f>B9/1.6</f>
        <v>5.625</v>
      </c>
      <c r="M12" s="11"/>
    </row>
    <row r="13" spans="1:24">
      <c r="B13" s="12"/>
      <c r="M13" s="11"/>
      <c r="W13" t="s">
        <v>74</v>
      </c>
    </row>
    <row r="14" spans="1:24">
      <c r="B14" s="12"/>
      <c r="K14" s="12"/>
      <c r="M14" s="12"/>
      <c r="W14" t="s">
        <v>71</v>
      </c>
      <c r="X14">
        <f>INDEX(LOGEST(F21:F43,LN(B21:B43),,TRUE),1,2)</f>
        <v>0.50905134014265208</v>
      </c>
    </row>
    <row r="15" spans="1:24">
      <c r="B15" s="12"/>
      <c r="K15" s="12"/>
      <c r="M15" s="12"/>
      <c r="W15" t="s">
        <v>72</v>
      </c>
      <c r="X15">
        <f>LN(INDEX(LOGEST(F21:F43,LN(B21:B43),,TRUE),1,1))</f>
        <v>0.58435848374120969</v>
      </c>
    </row>
    <row r="16" spans="1:24">
      <c r="B16" s="23" t="s">
        <v>78</v>
      </c>
      <c r="C16" s="12"/>
      <c r="D16" s="12"/>
      <c r="H16" s="12"/>
      <c r="K16" s="12"/>
    </row>
    <row r="17" spans="1:24">
      <c r="B17" s="23" t="s">
        <v>79</v>
      </c>
      <c r="C17" s="12"/>
      <c r="D17" s="12"/>
      <c r="F17" s="21"/>
      <c r="H17" s="12"/>
      <c r="K17" s="12"/>
      <c r="W17" t="s">
        <v>75</v>
      </c>
    </row>
    <row r="18" spans="1:24">
      <c r="B18" s="12"/>
      <c r="C18" s="12"/>
      <c r="D18" s="12"/>
      <c r="F18" s="12"/>
      <c r="H18" s="12"/>
      <c r="K18" s="12"/>
      <c r="W18" t="s">
        <v>71</v>
      </c>
      <c r="X18">
        <f>INDEX(LOGEST(C21:C43,LN(B21:B43),,TRUE),1,2)</f>
        <v>1.9903819041407704</v>
      </c>
    </row>
    <row r="19" spans="1:24">
      <c r="B19" s="12"/>
      <c r="C19" s="12"/>
      <c r="D19" s="12"/>
      <c r="F19" s="12"/>
      <c r="H19" s="12"/>
      <c r="K19" s="12"/>
      <c r="W19" t="s">
        <v>72</v>
      </c>
      <c r="X19">
        <f>LN(INDEX(LOGEST(C21:C43,LN(B21:B43),,TRUE),1,1))</f>
        <v>0.3400521191360622</v>
      </c>
    </row>
    <row r="20" spans="1:24">
      <c r="A20" t="s">
        <v>42</v>
      </c>
      <c r="B20" s="11" t="s">
        <v>25</v>
      </c>
      <c r="C20" s="21" t="s">
        <v>76</v>
      </c>
      <c r="D20" s="11" t="s">
        <v>3</v>
      </c>
      <c r="E20" s="21" t="s">
        <v>73</v>
      </c>
      <c r="F20" s="21" t="s">
        <v>77</v>
      </c>
      <c r="G20" s="21" t="s">
        <v>73</v>
      </c>
      <c r="H20" s="11" t="s">
        <v>26</v>
      </c>
      <c r="I20" s="22" t="s">
        <v>84</v>
      </c>
      <c r="J20" s="22" t="s">
        <v>73</v>
      </c>
      <c r="K20" s="11" t="s">
        <v>27</v>
      </c>
      <c r="L20" s="22" t="s">
        <v>85</v>
      </c>
      <c r="M20" s="22" t="s">
        <v>73</v>
      </c>
      <c r="N20" s="22" t="s">
        <v>81</v>
      </c>
    </row>
    <row r="21" spans="1:24">
      <c r="A21" t="s">
        <v>46</v>
      </c>
      <c r="B21" s="11">
        <v>35</v>
      </c>
      <c r="C21" s="11">
        <v>5.5</v>
      </c>
      <c r="D21" s="11">
        <v>20</v>
      </c>
      <c r="E21" s="22">
        <f t="shared" ref="E21:E45" si="0">(C21-($X$18*B21^X$19))/C21*100</f>
        <v>-21.237601422245202</v>
      </c>
      <c r="F21" s="11">
        <v>4</v>
      </c>
      <c r="G21" s="21">
        <f t="shared" ref="G21:G45" si="1">(F21-($X$14*B21^$X$15))/F21*100</f>
        <v>-1.6227293759850436</v>
      </c>
      <c r="H21" s="11">
        <v>2</v>
      </c>
      <c r="I21" s="22">
        <v>4</v>
      </c>
      <c r="J21" s="22">
        <f>(I21-($X$22*B21^$X$23))/I21*100</f>
        <v>-21.531038682273508</v>
      </c>
      <c r="K21" s="11">
        <v>4</v>
      </c>
      <c r="L21" s="22">
        <v>4</v>
      </c>
      <c r="M21" s="22">
        <f>(L21-($X$26*B21^$X$27))/L21*100</f>
        <v>-18.308637906790359</v>
      </c>
      <c r="N21">
        <f t="shared" ref="N21:N45" si="2">C21/F21</f>
        <v>1.375</v>
      </c>
      <c r="W21" t="s">
        <v>82</v>
      </c>
    </row>
    <row r="22" spans="1:24">
      <c r="A22" t="s">
        <v>65</v>
      </c>
      <c r="B22" s="11">
        <v>45</v>
      </c>
      <c r="C22" s="11">
        <v>7</v>
      </c>
      <c r="E22" s="22">
        <f t="shared" si="0"/>
        <v>-3.7568535629567004</v>
      </c>
      <c r="F22" s="11">
        <v>4</v>
      </c>
      <c r="G22" s="21">
        <f t="shared" si="1"/>
        <v>-17.698343789148051</v>
      </c>
      <c r="H22" s="11">
        <v>2</v>
      </c>
      <c r="I22" s="22">
        <v>4</v>
      </c>
      <c r="J22" s="22">
        <f t="shared" ref="J22:J45" si="3">(I22-($X$22*B22^$X$23))/I22*100</f>
        <v>-44.720231666709779</v>
      </c>
      <c r="K22" s="11">
        <v>6</v>
      </c>
      <c r="L22" s="22">
        <v>6</v>
      </c>
      <c r="M22" s="22">
        <f t="shared" ref="M22:M45" si="4">(L22-($X$26*B22^$X$27))/L22*100</f>
        <v>6.4514002248447317</v>
      </c>
      <c r="N22">
        <f t="shared" si="2"/>
        <v>1.75</v>
      </c>
      <c r="W22" t="s">
        <v>71</v>
      </c>
      <c r="X22">
        <f>INDEX(LOGEST(I21:I43,LN(B21:B43),,TRUE),1,2)</f>
        <v>0.41096895050927823</v>
      </c>
    </row>
    <row r="23" spans="1:24">
      <c r="A23" t="s">
        <v>50</v>
      </c>
      <c r="B23" s="11">
        <v>50</v>
      </c>
      <c r="C23" s="11">
        <v>7</v>
      </c>
      <c r="D23" s="11">
        <v>20</v>
      </c>
      <c r="E23" s="22">
        <f t="shared" si="0"/>
        <v>-7.5416572695929869</v>
      </c>
      <c r="F23" s="11">
        <v>5</v>
      </c>
      <c r="G23" s="21">
        <f t="shared" si="1"/>
        <v>-0.13804685515422577</v>
      </c>
      <c r="H23" s="11">
        <v>8</v>
      </c>
      <c r="I23" s="22">
        <v>6</v>
      </c>
      <c r="J23" s="22">
        <f t="shared" si="3"/>
        <v>-3.8087214323831255</v>
      </c>
      <c r="K23" s="11">
        <v>4</v>
      </c>
      <c r="L23" s="22">
        <v>6</v>
      </c>
      <c r="M23" s="22">
        <f t="shared" si="4"/>
        <v>-0.48653841583981006</v>
      </c>
      <c r="N23">
        <f t="shared" si="2"/>
        <v>1.4</v>
      </c>
      <c r="W23" t="s">
        <v>72</v>
      </c>
      <c r="X23">
        <f>LN(INDEX(LOGEST(I21:I43,LN(B21:B43),,TRUE),1,1))</f>
        <v>0.69487753055711177</v>
      </c>
    </row>
    <row r="24" spans="1:24">
      <c r="A24" t="s">
        <v>51</v>
      </c>
      <c r="B24" s="11">
        <v>60</v>
      </c>
      <c r="C24" s="11">
        <v>8</v>
      </c>
      <c r="D24" s="11">
        <v>35</v>
      </c>
      <c r="E24" s="22">
        <f t="shared" si="0"/>
        <v>-0.11762263414916152</v>
      </c>
      <c r="F24" s="11">
        <v>6</v>
      </c>
      <c r="G24" s="21">
        <f t="shared" si="1"/>
        <v>7.1700528346818171</v>
      </c>
      <c r="H24" s="11">
        <v>6</v>
      </c>
      <c r="I24" s="22">
        <v>6</v>
      </c>
      <c r="J24" s="22">
        <f t="shared" si="3"/>
        <v>-17.829791928407658</v>
      </c>
      <c r="K24" s="11">
        <v>6</v>
      </c>
      <c r="L24" s="22">
        <v>6</v>
      </c>
      <c r="M24" s="22">
        <f t="shared" si="4"/>
        <v>-13.729761735528104</v>
      </c>
      <c r="N24">
        <f t="shared" si="2"/>
        <v>1.3333333333333333</v>
      </c>
    </row>
    <row r="25" spans="1:24">
      <c r="A25" t="s">
        <v>52</v>
      </c>
      <c r="B25" s="11">
        <v>60</v>
      </c>
      <c r="C25" s="11">
        <v>9</v>
      </c>
      <c r="D25" s="11">
        <v>35</v>
      </c>
      <c r="E25" s="22">
        <f t="shared" si="0"/>
        <v>11.00655765853408</v>
      </c>
      <c r="F25" s="11">
        <v>7</v>
      </c>
      <c r="G25" s="21">
        <f t="shared" si="1"/>
        <v>20.431473858298702</v>
      </c>
      <c r="H25" s="11">
        <v>14</v>
      </c>
      <c r="I25" s="22">
        <v>10</v>
      </c>
      <c r="J25" s="22">
        <f t="shared" si="3"/>
        <v>29.302124842955408</v>
      </c>
      <c r="K25" s="11">
        <v>8</v>
      </c>
      <c r="L25" s="22">
        <v>6</v>
      </c>
      <c r="M25" s="22">
        <f t="shared" si="4"/>
        <v>-13.729761735528104</v>
      </c>
      <c r="N25">
        <f t="shared" si="2"/>
        <v>1.2857142857142858</v>
      </c>
      <c r="W25" t="s">
        <v>83</v>
      </c>
    </row>
    <row r="26" spans="1:24">
      <c r="A26" t="s">
        <v>61</v>
      </c>
      <c r="B26" s="11">
        <v>70</v>
      </c>
      <c r="C26" s="11">
        <v>7</v>
      </c>
      <c r="E26" s="22">
        <f t="shared" si="0"/>
        <v>-20.577943648882805</v>
      </c>
      <c r="F26" s="11">
        <v>5</v>
      </c>
      <c r="G26" s="21">
        <f t="shared" si="1"/>
        <v>-21.896229946643206</v>
      </c>
      <c r="H26" s="11">
        <v>6</v>
      </c>
      <c r="I26" s="22">
        <v>8</v>
      </c>
      <c r="J26" s="22">
        <f t="shared" si="3"/>
        <v>1.6359970803141999</v>
      </c>
      <c r="K26" s="11">
        <v>6</v>
      </c>
      <c r="L26" s="22">
        <v>8</v>
      </c>
      <c r="M26" s="22">
        <f t="shared" si="4"/>
        <v>5.2903778788527367</v>
      </c>
      <c r="N26">
        <f t="shared" si="2"/>
        <v>1.4</v>
      </c>
      <c r="W26" t="s">
        <v>71</v>
      </c>
      <c r="X26">
        <f>INDEX(LOGEST(L21:L43,LN(B21:B43),,TRUE),1,2)</f>
        <v>0.42326443945468772</v>
      </c>
    </row>
    <row r="27" spans="1:24">
      <c r="A27" t="s">
        <v>66</v>
      </c>
      <c r="B27" s="11">
        <v>80</v>
      </c>
      <c r="C27" s="11">
        <v>9</v>
      </c>
      <c r="E27" s="22">
        <f t="shared" si="0"/>
        <v>1.8605345500593156</v>
      </c>
      <c r="F27" s="11">
        <v>6</v>
      </c>
      <c r="G27" s="21">
        <f t="shared" si="1"/>
        <v>-9.8239637019043098</v>
      </c>
      <c r="H27" s="11">
        <v>6</v>
      </c>
      <c r="I27" s="22">
        <v>8</v>
      </c>
      <c r="J27" s="22">
        <f t="shared" si="3"/>
        <v>-7.9278423565519729</v>
      </c>
      <c r="K27" s="11">
        <v>10</v>
      </c>
      <c r="L27" s="22">
        <v>8</v>
      </c>
      <c r="M27" s="22">
        <f t="shared" si="4"/>
        <v>-3.6984417899470712</v>
      </c>
      <c r="N27">
        <f t="shared" si="2"/>
        <v>1.5</v>
      </c>
      <c r="W27" t="s">
        <v>72</v>
      </c>
      <c r="X27">
        <f>LN(INDEX(LOGEST(L21:L43,LN(B21:B43),,TRUE),1,1))</f>
        <v>0.67902749929068951</v>
      </c>
    </row>
    <row r="28" spans="1:24">
      <c r="A28" t="s">
        <v>31</v>
      </c>
      <c r="B28" s="11">
        <v>200</v>
      </c>
      <c r="C28" s="11">
        <v>11</v>
      </c>
      <c r="D28" s="11">
        <v>80</v>
      </c>
      <c r="E28" s="22">
        <f t="shared" si="0"/>
        <v>-9.6513178504940136</v>
      </c>
      <c r="F28" s="11">
        <v>11</v>
      </c>
      <c r="G28" s="21">
        <f t="shared" si="1"/>
        <v>-2.3281916390937241</v>
      </c>
      <c r="H28" s="11">
        <v>24</v>
      </c>
      <c r="I28" s="22">
        <v>22</v>
      </c>
      <c r="J28" s="22">
        <f t="shared" si="3"/>
        <v>25.8142705014813</v>
      </c>
      <c r="K28" s="11">
        <v>22</v>
      </c>
      <c r="L28" s="22">
        <v>18</v>
      </c>
      <c r="M28" s="22">
        <f t="shared" si="4"/>
        <v>14.137817903564779</v>
      </c>
      <c r="N28">
        <f t="shared" si="2"/>
        <v>1</v>
      </c>
    </row>
    <row r="29" spans="1:24">
      <c r="A29" t="s">
        <v>47</v>
      </c>
      <c r="B29" s="11">
        <v>250</v>
      </c>
      <c r="C29" s="11">
        <v>11</v>
      </c>
      <c r="D29" s="11">
        <v>100</v>
      </c>
      <c r="E29" s="22">
        <f t="shared" si="0"/>
        <v>-18.295523613123375</v>
      </c>
      <c r="F29" s="11">
        <v>14</v>
      </c>
      <c r="G29" s="21">
        <f t="shared" si="1"/>
        <v>8.4011255836582297</v>
      </c>
      <c r="H29" s="11">
        <v>26</v>
      </c>
      <c r="I29" s="22">
        <v>20</v>
      </c>
      <c r="J29" s="22">
        <f t="shared" si="3"/>
        <v>4.7086132154877802</v>
      </c>
      <c r="K29" s="11">
        <v>32</v>
      </c>
      <c r="L29" s="22">
        <v>22</v>
      </c>
      <c r="M29" s="22">
        <f t="shared" si="4"/>
        <v>18.255920165373819</v>
      </c>
      <c r="N29">
        <f t="shared" si="2"/>
        <v>0.7857142857142857</v>
      </c>
    </row>
    <row r="30" spans="1:24">
      <c r="A30" t="s">
        <v>62</v>
      </c>
      <c r="B30" s="11">
        <v>250</v>
      </c>
      <c r="C30" s="11">
        <v>18.5</v>
      </c>
      <c r="E30" s="22">
        <f t="shared" si="0"/>
        <v>29.662121094899614</v>
      </c>
      <c r="F30" s="11">
        <v>12</v>
      </c>
      <c r="G30" s="21">
        <f t="shared" si="1"/>
        <v>-6.8653534857320659</v>
      </c>
      <c r="H30" s="11">
        <v>32</v>
      </c>
      <c r="I30" s="22">
        <v>22</v>
      </c>
      <c r="J30" s="22">
        <f t="shared" si="3"/>
        <v>13.371466559534346</v>
      </c>
      <c r="K30" s="11">
        <v>20</v>
      </c>
      <c r="L30" s="22">
        <v>20</v>
      </c>
      <c r="M30" s="22">
        <f t="shared" si="4"/>
        <v>10.081512181911201</v>
      </c>
      <c r="N30">
        <f t="shared" si="2"/>
        <v>1.5416666666666667</v>
      </c>
    </row>
    <row r="31" spans="1:24">
      <c r="A31" t="s">
        <v>44</v>
      </c>
      <c r="B31" s="11">
        <v>400</v>
      </c>
      <c r="C31" s="11">
        <v>11</v>
      </c>
      <c r="D31" s="11">
        <v>100</v>
      </c>
      <c r="E31" s="22">
        <f t="shared" si="0"/>
        <v>-38.796892724999957</v>
      </c>
      <c r="F31" s="11">
        <v>15</v>
      </c>
      <c r="G31" s="21">
        <f t="shared" si="1"/>
        <v>-12.513894448301411</v>
      </c>
      <c r="H31" s="11">
        <v>28</v>
      </c>
      <c r="I31" s="22">
        <v>24</v>
      </c>
      <c r="J31" s="22">
        <f t="shared" si="3"/>
        <v>-10.080600688846159</v>
      </c>
      <c r="K31" s="11">
        <v>28</v>
      </c>
      <c r="L31" s="22">
        <v>26</v>
      </c>
      <c r="M31" s="22">
        <f t="shared" si="4"/>
        <v>4.8281034802758995</v>
      </c>
      <c r="N31">
        <f t="shared" si="2"/>
        <v>0.73333333333333328</v>
      </c>
    </row>
    <row r="32" spans="1:24">
      <c r="A32" t="s">
        <v>45</v>
      </c>
      <c r="B32" s="12">
        <v>400</v>
      </c>
      <c r="C32" s="11">
        <f>14.5+0.5*11</f>
        <v>20</v>
      </c>
      <c r="D32" s="11">
        <v>260</v>
      </c>
      <c r="E32" s="22">
        <f t="shared" si="0"/>
        <v>23.661709001250024</v>
      </c>
      <c r="F32" s="12">
        <v>16</v>
      </c>
      <c r="G32" s="21">
        <f t="shared" si="1"/>
        <v>-5.4817760452825715</v>
      </c>
      <c r="H32" s="11">
        <v>28</v>
      </c>
      <c r="I32" s="22">
        <v>26</v>
      </c>
      <c r="J32" s="22">
        <f t="shared" si="3"/>
        <v>-1.6128621743195328</v>
      </c>
      <c r="K32" s="11">
        <v>24</v>
      </c>
      <c r="L32" s="22">
        <v>24</v>
      </c>
      <c r="M32" s="22">
        <f t="shared" si="4"/>
        <v>-3.1028878963677746</v>
      </c>
      <c r="N32">
        <f t="shared" si="2"/>
        <v>1.25</v>
      </c>
    </row>
    <row r="33" spans="1:14">
      <c r="A33" t="s">
        <v>49</v>
      </c>
      <c r="B33" s="12">
        <v>400</v>
      </c>
      <c r="C33" s="11">
        <f>16+0.5*11.5</f>
        <v>21.75</v>
      </c>
      <c r="D33" s="11">
        <v>190</v>
      </c>
      <c r="E33" s="22">
        <f t="shared" si="0"/>
        <v>29.803870345977035</v>
      </c>
      <c r="F33" s="12">
        <v>15</v>
      </c>
      <c r="G33" s="21">
        <f t="shared" si="1"/>
        <v>-12.513894448301411</v>
      </c>
      <c r="H33" s="11">
        <v>34</v>
      </c>
      <c r="I33" s="22">
        <v>32</v>
      </c>
      <c r="J33" s="22">
        <f t="shared" si="3"/>
        <v>17.439549483365379</v>
      </c>
      <c r="K33" s="11">
        <v>36</v>
      </c>
      <c r="L33" s="22">
        <v>22</v>
      </c>
      <c r="M33" s="22">
        <f t="shared" si="4"/>
        <v>-12.475877705128481</v>
      </c>
      <c r="N33">
        <f t="shared" si="2"/>
        <v>1.45</v>
      </c>
    </row>
    <row r="34" spans="1:14">
      <c r="A34" t="s">
        <v>54</v>
      </c>
      <c r="B34" s="11">
        <v>400</v>
      </c>
      <c r="C34" s="11">
        <v>17.5</v>
      </c>
      <c r="D34" s="11">
        <v>190</v>
      </c>
      <c r="E34" s="22">
        <f t="shared" si="0"/>
        <v>12.756238858571455</v>
      </c>
      <c r="F34" s="11">
        <v>28</v>
      </c>
      <c r="G34" s="21">
        <f t="shared" si="1"/>
        <v>39.724699402695677</v>
      </c>
      <c r="H34" s="11">
        <v>36</v>
      </c>
      <c r="I34" s="22">
        <v>34</v>
      </c>
      <c r="J34" s="22">
        <f t="shared" si="3"/>
        <v>22.296046572579183</v>
      </c>
      <c r="K34" s="11">
        <v>32</v>
      </c>
      <c r="L34" s="22">
        <v>32</v>
      </c>
      <c r="M34" s="22">
        <f t="shared" si="4"/>
        <v>22.672834077724168</v>
      </c>
      <c r="N34">
        <f t="shared" si="2"/>
        <v>0.625</v>
      </c>
    </row>
    <row r="35" spans="1:14">
      <c r="A35" t="s">
        <v>63</v>
      </c>
      <c r="B35" s="11">
        <v>425</v>
      </c>
      <c r="C35" s="11">
        <f>18+0.5*4.5</f>
        <v>20.25</v>
      </c>
      <c r="E35" s="22">
        <f t="shared" si="0"/>
        <v>23.03369940219951</v>
      </c>
      <c r="F35" s="11">
        <v>15</v>
      </c>
      <c r="G35" s="21">
        <f t="shared" si="1"/>
        <v>-16.57131507737515</v>
      </c>
      <c r="H35" s="11">
        <v>30</v>
      </c>
      <c r="I35" s="22">
        <v>28</v>
      </c>
      <c r="J35" s="22">
        <f t="shared" si="3"/>
        <v>1.5854323149092155</v>
      </c>
      <c r="K35" s="11">
        <v>20</v>
      </c>
      <c r="L35" s="22">
        <v>20</v>
      </c>
      <c r="M35" s="22">
        <f t="shared" si="4"/>
        <v>-28.922924771447551</v>
      </c>
      <c r="N35">
        <f t="shared" si="2"/>
        <v>1.35</v>
      </c>
    </row>
    <row r="36" spans="1:14">
      <c r="A36" t="s">
        <v>53</v>
      </c>
      <c r="B36" s="11">
        <v>650</v>
      </c>
      <c r="C36" s="11">
        <v>15</v>
      </c>
      <c r="D36" s="11">
        <v>210</v>
      </c>
      <c r="E36" s="22">
        <f t="shared" si="0"/>
        <v>-20.055567058529412</v>
      </c>
      <c r="F36" s="11">
        <v>26</v>
      </c>
      <c r="G36" s="21">
        <f t="shared" si="1"/>
        <v>13.793895383349819</v>
      </c>
      <c r="H36" s="11">
        <v>36</v>
      </c>
      <c r="I36" s="22">
        <v>34</v>
      </c>
      <c r="J36" s="22">
        <f t="shared" si="3"/>
        <v>-8.8830759572751106</v>
      </c>
      <c r="K36" s="11">
        <v>36</v>
      </c>
      <c r="L36" s="22">
        <v>40</v>
      </c>
      <c r="M36" s="22">
        <f t="shared" si="4"/>
        <v>13.980420793378896</v>
      </c>
      <c r="N36">
        <f t="shared" si="2"/>
        <v>0.57692307692307687</v>
      </c>
    </row>
    <row r="37" spans="1:14">
      <c r="A37" t="s">
        <v>43</v>
      </c>
      <c r="B37" s="11">
        <v>700</v>
      </c>
      <c r="C37" s="11">
        <v>20</v>
      </c>
      <c r="D37" s="11">
        <v>160</v>
      </c>
      <c r="E37" s="22">
        <f t="shared" si="0"/>
        <v>7.6603898706981255</v>
      </c>
      <c r="F37" s="11">
        <v>26</v>
      </c>
      <c r="G37" s="21">
        <f t="shared" si="1"/>
        <v>9.9786723071163763</v>
      </c>
      <c r="H37" s="11">
        <v>36</v>
      </c>
      <c r="I37" s="22">
        <v>42</v>
      </c>
      <c r="J37" s="22">
        <f t="shared" si="3"/>
        <v>7.1986228319360466</v>
      </c>
      <c r="K37" s="11">
        <v>40</v>
      </c>
      <c r="L37" s="22">
        <v>40</v>
      </c>
      <c r="M37" s="22">
        <f t="shared" si="4"/>
        <v>9.5410382492039147</v>
      </c>
      <c r="N37">
        <f t="shared" si="2"/>
        <v>0.76923076923076927</v>
      </c>
    </row>
    <row r="38" spans="1:14">
      <c r="A38" t="s">
        <v>64</v>
      </c>
      <c r="B38" s="11">
        <v>1000</v>
      </c>
      <c r="C38" s="11">
        <v>20</v>
      </c>
      <c r="E38" s="22">
        <f t="shared" si="0"/>
        <v>-4.2468104990495092</v>
      </c>
      <c r="F38" s="11">
        <v>32</v>
      </c>
      <c r="G38" s="21">
        <f t="shared" si="1"/>
        <v>9.9078278490876812</v>
      </c>
      <c r="H38" s="11">
        <v>40</v>
      </c>
      <c r="I38" s="22">
        <v>54</v>
      </c>
      <c r="J38" s="22">
        <f t="shared" si="3"/>
        <v>7.5199952922210764</v>
      </c>
      <c r="K38" s="11">
        <v>44</v>
      </c>
      <c r="L38" s="22">
        <v>48</v>
      </c>
      <c r="M38" s="22">
        <f t="shared" si="4"/>
        <v>3.9598027682702153</v>
      </c>
      <c r="N38">
        <f t="shared" si="2"/>
        <v>0.625</v>
      </c>
    </row>
    <row r="39" spans="1:14">
      <c r="A39" t="s">
        <v>69</v>
      </c>
      <c r="B39" s="11">
        <v>2500</v>
      </c>
      <c r="C39" s="11">
        <f>21.5+0.5*12.5</f>
        <v>27.75</v>
      </c>
      <c r="E39" s="22">
        <f t="shared" si="0"/>
        <v>-2.6006536893531531</v>
      </c>
      <c r="F39" s="11">
        <v>40</v>
      </c>
      <c r="G39" s="21">
        <f t="shared" si="1"/>
        <v>-23.116614636981012</v>
      </c>
      <c r="H39" s="11">
        <v>42</v>
      </c>
      <c r="I39" s="22">
        <v>74</v>
      </c>
      <c r="J39" s="22">
        <f t="shared" si="3"/>
        <v>-27.564389170873092</v>
      </c>
      <c r="K39" s="11">
        <v>28</v>
      </c>
      <c r="L39" s="22">
        <v>70</v>
      </c>
      <c r="M39" s="22">
        <f t="shared" si="4"/>
        <v>-22.689797480155352</v>
      </c>
      <c r="N39">
        <f t="shared" si="2"/>
        <v>0.69374999999999998</v>
      </c>
    </row>
    <row r="40" spans="1:14">
      <c r="A40" t="s">
        <v>67</v>
      </c>
      <c r="B40" s="11">
        <v>3500</v>
      </c>
      <c r="C40" s="11">
        <v>31.5</v>
      </c>
      <c r="E40" s="22">
        <f t="shared" si="0"/>
        <v>-1.342989104292051</v>
      </c>
      <c r="F40" s="11">
        <f>16*4</f>
        <v>64</v>
      </c>
      <c r="G40" s="21">
        <f t="shared" si="1"/>
        <v>6.3327349135003157</v>
      </c>
      <c r="H40" s="11">
        <v>50</v>
      </c>
      <c r="I40" s="22">
        <v>140</v>
      </c>
      <c r="J40" s="22">
        <f t="shared" si="3"/>
        <v>14.812823009119935</v>
      </c>
      <c r="K40" s="11">
        <v>54</v>
      </c>
      <c r="L40" s="22">
        <v>120</v>
      </c>
      <c r="M40" s="22">
        <f t="shared" si="4"/>
        <v>10.060556054389002</v>
      </c>
      <c r="N40">
        <f t="shared" si="2"/>
        <v>0.4921875</v>
      </c>
    </row>
    <row r="41" spans="1:14">
      <c r="A41" t="s">
        <v>68</v>
      </c>
      <c r="B41" s="11">
        <v>4000</v>
      </c>
      <c r="C41" s="11">
        <f>18+2*0.5*11</f>
        <v>29</v>
      </c>
      <c r="E41" s="22">
        <f t="shared" si="0"/>
        <v>-15.193122307793722</v>
      </c>
      <c r="F41" s="11">
        <f>12*2+4*10</f>
        <v>64</v>
      </c>
      <c r="G41" s="21">
        <f t="shared" si="1"/>
        <v>-1.2688611493814062</v>
      </c>
      <c r="H41" s="11">
        <v>42</v>
      </c>
      <c r="I41" s="22">
        <v>100</v>
      </c>
      <c r="J41" s="22">
        <f t="shared" si="3"/>
        <v>-30.857784460131143</v>
      </c>
      <c r="K41" s="11">
        <f>16*4</f>
        <v>64</v>
      </c>
      <c r="L41" s="22">
        <v>90</v>
      </c>
      <c r="M41" s="22">
        <f t="shared" si="4"/>
        <v>-31.300706077278544</v>
      </c>
      <c r="N41">
        <f t="shared" si="2"/>
        <v>0.453125</v>
      </c>
    </row>
    <row r="42" spans="1:14">
      <c r="A42" t="s">
        <v>60</v>
      </c>
      <c r="B42" s="11">
        <v>5000</v>
      </c>
      <c r="C42" s="11">
        <f>25+0.5*20</f>
        <v>35</v>
      </c>
      <c r="E42" s="22">
        <f t="shared" si="0"/>
        <v>-2.9700583443217607</v>
      </c>
      <c r="F42" s="11">
        <f>19*4</f>
        <v>76</v>
      </c>
      <c r="G42" s="21">
        <f t="shared" si="1"/>
        <v>2.8433580017311084</v>
      </c>
      <c r="H42" s="11">
        <v>60</v>
      </c>
      <c r="I42" s="22">
        <v>130</v>
      </c>
      <c r="J42" s="22">
        <f t="shared" si="3"/>
        <v>-17.543008231647768</v>
      </c>
      <c r="K42" s="11">
        <v>64</v>
      </c>
      <c r="L42" s="22">
        <v>150</v>
      </c>
      <c r="M42" s="22">
        <f t="shared" si="4"/>
        <v>8.3309193745232051</v>
      </c>
      <c r="N42">
        <f t="shared" si="2"/>
        <v>0.46052631578947367</v>
      </c>
    </row>
    <row r="43" spans="1:14">
      <c r="A43" t="s">
        <v>70</v>
      </c>
      <c r="B43" s="11">
        <v>6500</v>
      </c>
      <c r="C43" s="11">
        <v>36.5</v>
      </c>
      <c r="E43" s="22">
        <f t="shared" si="0"/>
        <v>-7.9525280395286755</v>
      </c>
      <c r="F43" s="11">
        <f>19*4</f>
        <v>76</v>
      </c>
      <c r="G43" s="21">
        <f t="shared" si="1"/>
        <v>-13.254706924084322</v>
      </c>
      <c r="H43" s="22">
        <v>50</v>
      </c>
      <c r="I43" s="22">
        <v>200</v>
      </c>
      <c r="J43" s="22">
        <f t="shared" si="3"/>
        <v>8.3174185063719221</v>
      </c>
      <c r="K43" s="22">
        <v>54</v>
      </c>
      <c r="L43" s="22">
        <v>160</v>
      </c>
      <c r="M43" s="22">
        <f t="shared" si="4"/>
        <v>-2.6986705653568954</v>
      </c>
      <c r="N43">
        <f t="shared" si="2"/>
        <v>0.48026315789473684</v>
      </c>
    </row>
    <row r="44" spans="1:14">
      <c r="A44" t="s">
        <v>48</v>
      </c>
      <c r="B44" s="11">
        <v>10000</v>
      </c>
      <c r="C44" s="11">
        <f>41.5+0.5*4*16</f>
        <v>73.5</v>
      </c>
      <c r="D44" s="11">
        <v>920</v>
      </c>
      <c r="E44" s="22">
        <f t="shared" si="0"/>
        <v>37.933457652641607</v>
      </c>
      <c r="F44" s="11">
        <f>4*16+4*10</f>
        <v>104</v>
      </c>
      <c r="G44" s="22">
        <f t="shared" si="1"/>
        <v>-6.4540480743137172</v>
      </c>
      <c r="M44" s="22"/>
      <c r="N44">
        <f t="shared" si="2"/>
        <v>0.70673076923076927</v>
      </c>
    </row>
    <row r="45" spans="1:14">
      <c r="A45" t="s">
        <v>80</v>
      </c>
      <c r="B45" s="11">
        <v>12000</v>
      </c>
      <c r="C45" s="11">
        <f>31+0.5*30.5</f>
        <v>46.25</v>
      </c>
      <c r="E45" s="22">
        <f t="shared" si="0"/>
        <v>-4.9443119609254857</v>
      </c>
      <c r="F45" s="11">
        <f>17*4+0.5*(2*11+16+11+11)</f>
        <v>98</v>
      </c>
      <c r="G45" s="22">
        <f t="shared" si="1"/>
        <v>-25.672332944779225</v>
      </c>
      <c r="H45" s="11">
        <v>60</v>
      </c>
      <c r="I45" s="22">
        <v>220</v>
      </c>
      <c r="J45" s="22">
        <f t="shared" si="3"/>
        <v>-27.619700612933478</v>
      </c>
      <c r="K45" s="11">
        <v>64</v>
      </c>
      <c r="L45" s="22">
        <v>200</v>
      </c>
      <c r="M45" s="22">
        <f t="shared" si="4"/>
        <v>-24.582782886993954</v>
      </c>
      <c r="N45">
        <f t="shared" si="2"/>
        <v>0.47193877551020408</v>
      </c>
    </row>
  </sheetData>
  <sortState ref="A21:K45">
    <sortCondition ref="B21:B45"/>
  </sortState>
  <conditionalFormatting sqref="E21:E4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:G4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4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4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M4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4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4">
      <formula1>'alte Auswahl'!C1:C2</formula1>
    </dataValidation>
    <dataValidation type="list" allowBlank="1" showInputMessage="1" showErrorMessage="1" sqref="B3">
      <formula1>'alte Auswahl'!A1:A5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E40" sqref="A1:XFD1048576"/>
    </sheetView>
  </sheetViews>
  <sheetFormatPr baseColWidth="10" defaultRowHeight="15"/>
  <sheetData>
    <row r="1" spans="1:11">
      <c r="A1" t="s">
        <v>7</v>
      </c>
      <c r="C1" t="s">
        <v>18</v>
      </c>
      <c r="F1" t="s">
        <v>0</v>
      </c>
      <c r="G1" t="s">
        <v>1</v>
      </c>
      <c r="H1" t="s">
        <v>2</v>
      </c>
      <c r="I1" t="s">
        <v>57</v>
      </c>
      <c r="J1" t="s">
        <v>19</v>
      </c>
      <c r="K1" t="s">
        <v>20</v>
      </c>
    </row>
    <row r="2" spans="1:11">
      <c r="A2" t="s">
        <v>6</v>
      </c>
      <c r="C2" t="s">
        <v>15</v>
      </c>
      <c r="F2">
        <v>100</v>
      </c>
      <c r="G2">
        <v>0.1275</v>
      </c>
      <c r="H2">
        <v>0</v>
      </c>
      <c r="J2">
        <f>IF('sehr alter Konverter'!B3="sehr klein",4,IF('sehr alter Konverter'!B3="groß",4,IF('sehr alter Konverter'!B3="sehr groß",8,0)))</f>
        <v>4</v>
      </c>
      <c r="K2">
        <f>IF('sehr alter Konverter'!B3="sehr klein",4,IF('sehr alter Konverter'!B3="klein",2,0))</f>
        <v>0</v>
      </c>
    </row>
    <row r="3" spans="1:11">
      <c r="A3" t="s">
        <v>8</v>
      </c>
      <c r="F3">
        <v>250</v>
      </c>
      <c r="G3">
        <v>5.9200000000000003E-2</v>
      </c>
      <c r="H3">
        <v>1.6305000000000001</v>
      </c>
    </row>
    <row r="4" spans="1:11">
      <c r="A4" t="s">
        <v>9</v>
      </c>
      <c r="F4">
        <v>500</v>
      </c>
      <c r="G4">
        <v>3.2500000000000001E-2</v>
      </c>
      <c r="H4">
        <v>1.3013999999999999</v>
      </c>
    </row>
    <row r="5" spans="1:11">
      <c r="A5" t="s">
        <v>10</v>
      </c>
      <c r="G5">
        <v>2E-3</v>
      </c>
      <c r="H5">
        <v>13.282999999999999</v>
      </c>
      <c r="I5" t="s">
        <v>58</v>
      </c>
      <c r="J5" t="s">
        <v>19</v>
      </c>
      <c r="K5" t="s">
        <v>20</v>
      </c>
    </row>
    <row r="6" spans="1:11">
      <c r="J6">
        <f>IF('alter Konverter'!B3="sehr klein",4,IF('alter Konverter'!B3="groß",4,IF('alter Konverter'!B3="sehr groß",8,0)))</f>
        <v>8</v>
      </c>
      <c r="K6">
        <f>IF('alter Konverter'!B3="sehr klein",4,IF('alter Konverter'!B3="klein",2,0))</f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28"/>
  <sheetViews>
    <sheetView tabSelected="1" workbookViewId="0">
      <selection activeCell="B9" sqref="B9"/>
    </sheetView>
  </sheetViews>
  <sheetFormatPr baseColWidth="10" defaultRowHeight="15"/>
  <cols>
    <col min="2" max="2" width="13.140625" bestFit="1" customWidth="1"/>
    <col min="3" max="3" width="15.28515625" customWidth="1"/>
    <col min="6" max="6" width="13" bestFit="1" customWidth="1"/>
    <col min="7" max="7" width="15.140625" bestFit="1" customWidth="1"/>
  </cols>
  <sheetData>
    <row r="2" spans="2:13">
      <c r="B2" s="9" t="s">
        <v>13</v>
      </c>
      <c r="C2" s="10" t="s">
        <v>14</v>
      </c>
      <c r="D2" s="14"/>
      <c r="G2" t="s">
        <v>28</v>
      </c>
      <c r="K2" t="s">
        <v>30</v>
      </c>
      <c r="M2" t="s">
        <v>40</v>
      </c>
    </row>
    <row r="3" spans="2:13">
      <c r="B3" s="6" t="s">
        <v>9</v>
      </c>
      <c r="C3" s="6" t="s">
        <v>15</v>
      </c>
      <c r="D3" s="14"/>
    </row>
    <row r="4" spans="2:13">
      <c r="D4" s="14"/>
      <c r="K4" t="s">
        <v>31</v>
      </c>
    </row>
    <row r="5" spans="2:13">
      <c r="K5" t="s">
        <v>27</v>
      </c>
    </row>
    <row r="6" spans="2:13">
      <c r="B6" s="4" t="s">
        <v>11</v>
      </c>
      <c r="C6" s="4" t="s">
        <v>12</v>
      </c>
      <c r="D6" s="5"/>
      <c r="G6" t="s">
        <v>29</v>
      </c>
      <c r="K6">
        <v>14</v>
      </c>
    </row>
    <row r="7" spans="2:13" ht="15.75">
      <c r="B7" s="2" t="s">
        <v>3</v>
      </c>
      <c r="C7" s="2" t="s">
        <v>4</v>
      </c>
      <c r="D7" s="2" t="s">
        <v>5</v>
      </c>
      <c r="G7" s="7" t="s">
        <v>35</v>
      </c>
      <c r="K7" t="s">
        <v>32</v>
      </c>
    </row>
    <row r="8" spans="2:13" ht="15.75">
      <c r="B8" s="7">
        <v>250</v>
      </c>
      <c r="C8" s="3">
        <f>IF(B8&lt;'alte Auswahl'!F2, B8*'alte Auswahl'!G2+'alte Auswahl'!H2, IF(B8&lt;'alte Auswahl'!F3, B8*'alte Auswahl'!G3+'alte Auswahl'!H3, IF(B8&lt;'alte Auswahl'!F4,B8*'alte Auswahl'!G4+'alte Auswahl'!H4,B8*'alte Auswahl'!G5+'alte Auswahl'!H5)))</f>
        <v>9.4263999999999992</v>
      </c>
      <c r="D8" s="1">
        <f>IF(B8&lt;'alte Auswahl'!F2,0,IF(B8&lt;'alte Auswahl'!F3,1,2))</f>
        <v>2</v>
      </c>
      <c r="G8">
        <v>3.5</v>
      </c>
      <c r="K8">
        <v>6.5</v>
      </c>
    </row>
    <row r="9" spans="2:13">
      <c r="B9" s="11" t="s">
        <v>22</v>
      </c>
      <c r="C9" s="3" t="s">
        <v>23</v>
      </c>
      <c r="D9" s="1"/>
      <c r="G9" t="s">
        <v>27</v>
      </c>
      <c r="K9" t="s">
        <v>3</v>
      </c>
    </row>
    <row r="10" spans="2:13">
      <c r="B10" s="8">
        <v>3</v>
      </c>
      <c r="C10" s="3">
        <f>B10/2+C8</f>
        <v>10.926399999999999</v>
      </c>
      <c r="G10">
        <f>K6*($G$8/$K$12)^(3/2)-8</f>
        <v>37.294985839356443</v>
      </c>
      <c r="K10">
        <v>46</v>
      </c>
    </row>
    <row r="11" spans="2:13">
      <c r="B11" s="24" t="s">
        <v>16</v>
      </c>
      <c r="C11" s="24"/>
      <c r="G11" t="s">
        <v>36</v>
      </c>
      <c r="K11" t="s">
        <v>33</v>
      </c>
    </row>
    <row r="12" spans="2:13">
      <c r="B12" s="8">
        <v>15</v>
      </c>
      <c r="C12" s="3">
        <f>IF(C3="Monster", IF(B12&lt;5,2,B12-3+'alte Auswahl'!J2),IF((B12+B14)/2&lt;5,2,(B12+B14)/2-3))</f>
        <v>16</v>
      </c>
      <c r="G12">
        <f>K8*($G$8/$K$12)^(3/2)</f>
        <v>21.02981485398692</v>
      </c>
      <c r="K12" s="13">
        <v>1.6</v>
      </c>
    </row>
    <row r="13" spans="2:13">
      <c r="B13" s="24" t="s">
        <v>17</v>
      </c>
      <c r="C13" s="24"/>
      <c r="G13" t="s">
        <v>3</v>
      </c>
      <c r="K13" t="s">
        <v>34</v>
      </c>
    </row>
    <row r="14" spans="2:13">
      <c r="B14" s="8">
        <v>8</v>
      </c>
      <c r="C14" s="3">
        <f>IF(C3="Monster", IF(B14&lt;5,2,B14-3+'alte Auswahl'!K2),IF((B14+B12)/2&lt;5,2,(B14+B12)/2-3))</f>
        <v>5</v>
      </c>
      <c r="G14">
        <f>K10*(G8/K12)^2</f>
        <v>220.1171875</v>
      </c>
      <c r="K14">
        <v>1</v>
      </c>
    </row>
    <row r="15" spans="2:13">
      <c r="B15" s="24" t="s">
        <v>24</v>
      </c>
      <c r="C15" s="24"/>
      <c r="K15" t="s">
        <v>25</v>
      </c>
    </row>
    <row r="16" spans="2:13">
      <c r="B16" s="8">
        <v>12</v>
      </c>
      <c r="C16" s="2">
        <f>IF(B16&lt;2,2,B16)</f>
        <v>12</v>
      </c>
      <c r="G16" s="1"/>
      <c r="K16">
        <v>200</v>
      </c>
    </row>
    <row r="17" spans="2:11">
      <c r="B17" s="24" t="s">
        <v>21</v>
      </c>
      <c r="C17" s="24"/>
      <c r="G17" s="1"/>
    </row>
    <row r="18" spans="2:11">
      <c r="B18" s="8">
        <v>8</v>
      </c>
      <c r="C18" s="3">
        <f>B18/1.6</f>
        <v>5</v>
      </c>
      <c r="G18" s="1"/>
    </row>
    <row r="19" spans="2:11">
      <c r="G19" s="1"/>
    </row>
    <row r="20" spans="2:11">
      <c r="G20" s="1"/>
      <c r="I20" t="s">
        <v>37</v>
      </c>
      <c r="J20" t="s">
        <v>41</v>
      </c>
    </row>
    <row r="21" spans="2:11">
      <c r="G21" s="1"/>
      <c r="I21">
        <f>7/1.8</f>
        <v>3.8888888888888888</v>
      </c>
      <c r="J21">
        <f>5000/80</f>
        <v>62.5</v>
      </c>
    </row>
    <row r="22" spans="2:11">
      <c r="G22" s="1"/>
      <c r="I22" t="s">
        <v>38</v>
      </c>
    </row>
    <row r="23" spans="2:11">
      <c r="G23" s="1"/>
      <c r="I23">
        <f>I21^1.5</f>
        <v>7.6689923114254279</v>
      </c>
      <c r="J23">
        <f>J21^(0.5)</f>
        <v>7.9056941504209481</v>
      </c>
      <c r="K23">
        <f>AVERAGE(I23:J23)</f>
        <v>7.787343230923188</v>
      </c>
    </row>
    <row r="24" spans="2:11">
      <c r="G24" s="1"/>
    </row>
    <row r="25" spans="2:11">
      <c r="G25" s="1"/>
      <c r="I25" t="s">
        <v>39</v>
      </c>
    </row>
    <row r="26" spans="2:11">
      <c r="G26" s="1"/>
      <c r="I26">
        <f>I21^2</f>
        <v>15.123456790123456</v>
      </c>
      <c r="J26">
        <f>J21^(2/3)</f>
        <v>15.749013123685913</v>
      </c>
      <c r="K26">
        <f>AVERAGE(I26:J26)</f>
        <v>15.436234956904684</v>
      </c>
    </row>
    <row r="27" spans="2:11">
      <c r="G27" s="1"/>
    </row>
    <row r="28" spans="2:11">
      <c r="G28" s="1"/>
    </row>
  </sheetData>
  <mergeCells count="4">
    <mergeCell ref="B11:C11"/>
    <mergeCell ref="B13:C13"/>
    <mergeCell ref="B17:C17"/>
    <mergeCell ref="B15:C15"/>
  </mergeCells>
  <dataValidations count="2">
    <dataValidation type="list" allowBlank="1" showInputMessage="1" showErrorMessage="1" sqref="B3">
      <formula1>'alte Auswahl'!A1:A5</formula1>
    </dataValidation>
    <dataValidation type="list" allowBlank="1" showInputMessage="1" showErrorMessage="1" sqref="C3">
      <formula1>'alte Auswahl'!C1:C2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Tabelle2!$C$1:$C$2</xm:f>
          </x14:formula1>
          <xm:sqref>C3</xm:sqref>
        </x14:dataValidation>
        <x14:dataValidation type="list" allowBlank="1" showInputMessage="1" showErrorMessage="1">
          <x14:formula1>
            <xm:f>Tabelle2!$A$1:$A$5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Konverter</vt:lpstr>
      <vt:lpstr>Kreaturenliste</vt:lpstr>
      <vt:lpstr>Auswahl</vt:lpstr>
      <vt:lpstr>alter Konverter</vt:lpstr>
      <vt:lpstr>alte Auswahl</vt:lpstr>
      <vt:lpstr>sehr alter Konverter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</dc:creator>
  <cp:lastModifiedBy>Luki</cp:lastModifiedBy>
  <dcterms:created xsi:type="dcterms:W3CDTF">2015-01-22T17:26:39Z</dcterms:created>
  <dcterms:modified xsi:type="dcterms:W3CDTF">2018-12-08T16:37:14Z</dcterms:modified>
</cp:coreProperties>
</file>